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omments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omments4.xml" ContentType="application/vnd.openxmlformats-officedocument.spreadsheetml.comment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omments5.xml" ContentType="application/vnd.openxmlformats-officedocument.spreadsheetml.comment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1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2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3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4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5.xml" ContentType="application/vnd.openxmlformats-officedocument.drawing+xml"/>
  <Override PartName="/xl/charts/chart88.xml" ContentType="application/vnd.openxmlformats-officedocument.drawingml.chart+xml"/>
  <Override PartName="/xl/drawings/drawing46.xml" ContentType="application/vnd.openxmlformats-officedocument.drawing+xml"/>
  <Override PartName="/xl/charts/chart89.xml" ContentType="application/vnd.openxmlformats-officedocument.drawingml.chart+xml"/>
  <Override PartName="/xl/drawings/drawing47.xml" ContentType="application/vnd.openxmlformats-officedocument.drawing+xml"/>
  <Override PartName="/xl/charts/chart90.xml" ContentType="application/vnd.openxmlformats-officedocument.drawingml.chart+xml"/>
  <Override PartName="/xl/drawings/drawing48.xml" ContentType="application/vnd.openxmlformats-officedocument.drawing+xml"/>
  <Override PartName="/xl/charts/chart91.xml" ContentType="application/vnd.openxmlformats-officedocument.drawingml.chart+xml"/>
  <Override PartName="/xl/drawings/drawing49.xml" ContentType="application/vnd.openxmlformats-officedocument.drawing+xml"/>
  <Override PartName="/xl/comments6.xml" ContentType="application/vnd.openxmlformats-officedocument.spreadsheetml.comments+xml"/>
  <Override PartName="/xl/charts/chart92.xml" ContentType="application/vnd.openxmlformats-officedocument.drawingml.chart+xml"/>
  <Override PartName="/xl/drawings/drawing50.xml" ContentType="application/vnd.openxmlformats-officedocument.drawing+xml"/>
  <Override PartName="/xl/charts/chart93.xml" ContentType="application/vnd.openxmlformats-officedocument.drawingml.chart+xml"/>
  <Override PartName="/xl/drawings/drawing51.xml" ContentType="application/vnd.openxmlformats-officedocument.drawing+xml"/>
  <Override PartName="/xl/charts/chart94.xml" ContentType="application/vnd.openxmlformats-officedocument.drawingml.chart+xml"/>
  <Override PartName="/xl/drawings/drawing52.xml" ContentType="application/vnd.openxmlformats-officedocument.drawing+xml"/>
  <Override PartName="/xl/charts/chart95.xml" ContentType="application/vnd.openxmlformats-officedocument.drawingml.chart+xml"/>
  <Override PartName="/xl/drawings/drawing53.xml" ContentType="application/vnd.openxmlformats-officedocument.drawing+xml"/>
  <Override PartName="/xl/charts/chart96.xml" ContentType="application/vnd.openxmlformats-officedocument.drawingml.chart+xml"/>
  <Override PartName="/xl/drawings/drawing54.xml" ContentType="application/vnd.openxmlformats-officedocument.drawing+xml"/>
  <Override PartName="/xl/charts/chart97.xml" ContentType="application/vnd.openxmlformats-officedocument.drawingml.chart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2 Quarterlies\2022 Q2\Credit Ratings\"/>
    </mc:Choice>
  </mc:AlternateContent>
  <bookViews>
    <workbookView xWindow="0" yWindow="0" windowWidth="23040" windowHeight="8328" tabRatio="873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2Q2" sheetId="93" r:id="rId6"/>
    <sheet name="Credit_2022Q1" sheetId="91" r:id="rId7"/>
    <sheet name="Credit_2021Q4" sheetId="90" r:id="rId8"/>
    <sheet name="Credit_2021Q3" sheetId="89" r:id="rId9"/>
    <sheet name="Credit_2021Q2" sheetId="88" r:id="rId10"/>
    <sheet name="Credit_2021Q1" sheetId="87" r:id="rId11"/>
    <sheet name="Credit_2020Q4" sheetId="85" r:id="rId12"/>
    <sheet name="Credit_2020Q3" sheetId="84" r:id="rId13"/>
    <sheet name="Credit_2020Q2" sheetId="83" r:id="rId14"/>
    <sheet name="Credit_2020Q1" sheetId="81" r:id="rId15"/>
    <sheet name="Credit_2019Q4" sheetId="80" r:id="rId16"/>
    <sheet name="Credit_2019Q3" sheetId="79" r:id="rId17"/>
    <sheet name="Credit_2019Q2" sheetId="76" r:id="rId18"/>
    <sheet name="Credit_2019Q1" sheetId="78" r:id="rId19"/>
    <sheet name="Credit_2018Q4" sheetId="75" r:id="rId20"/>
    <sheet name="Credit_2018Q3" sheetId="74" r:id="rId21"/>
    <sheet name="Credit_2018Q2" sheetId="73" r:id="rId22"/>
    <sheet name="Credit_2018Q1" sheetId="71" r:id="rId23"/>
    <sheet name="Credit_2017Q4" sheetId="70" r:id="rId24"/>
    <sheet name="Credit_2017Q3" sheetId="69" r:id="rId25"/>
    <sheet name="Credit_2017Q2" sheetId="68" r:id="rId26"/>
    <sheet name="Credit_2017Q1" sheetId="66" r:id="rId27"/>
    <sheet name="Credit_2016Q4" sheetId="65" r:id="rId28"/>
    <sheet name="Credit_2016Q3" sheetId="64" r:id="rId29"/>
    <sheet name="Credit_2016Q2" sheetId="63" r:id="rId30"/>
    <sheet name="Credit_2016Q1" sheetId="61" r:id="rId31"/>
    <sheet name="Credit_2015Q4" sheetId="60" r:id="rId32"/>
    <sheet name="Credit_2015Q3" sheetId="58" r:id="rId33"/>
    <sheet name="Credit_2015Q2" sheetId="57" r:id="rId34"/>
    <sheet name="Credit_2015Q1" sheetId="56" r:id="rId35"/>
    <sheet name="Credit_2014Q4" sheetId="55" r:id="rId36"/>
    <sheet name="Credit_2014Q3" sheetId="54" r:id="rId37"/>
    <sheet name="Credit_2014Q2" sheetId="52" r:id="rId38"/>
    <sheet name="Credit_2014Q1" sheetId="51" r:id="rId39"/>
    <sheet name="Credit_2013Q4" sheetId="50" r:id="rId40"/>
    <sheet name="Credit_2013Q3" sheetId="49" r:id="rId41"/>
    <sheet name="Credit_2013Q2" sheetId="43" r:id="rId42"/>
    <sheet name="Credit_2013Q1" sheetId="40" r:id="rId43"/>
    <sheet name="Credit_2012Q4" sheetId="34" r:id="rId44"/>
    <sheet name="Credit_2012Q3" sheetId="45" r:id="rId45"/>
    <sheet name="Credit_2012Q2" sheetId="46" r:id="rId46"/>
    <sheet name="Credit_2012Q1" sheetId="47" r:id="rId47"/>
    <sheet name="Credit_2011Q4" sheetId="28" r:id="rId48"/>
    <sheet name="Credit_2011Q3" sheetId="27" r:id="rId49"/>
    <sheet name="Credit_2011Q2" sheetId="26" r:id="rId50"/>
    <sheet name="Credit_2011Q1" sheetId="25" r:id="rId51"/>
    <sheet name="Credit_2010Q4" sheetId="24" r:id="rId52"/>
    <sheet name="Credit_2009Q4" sheetId="20" r:id="rId53"/>
    <sheet name="Credit_2008Q4" sheetId="16" r:id="rId54"/>
    <sheet name="Credit_2007Q4" sheetId="17" r:id="rId55"/>
    <sheet name="Credit_2006Q4" sheetId="11" r:id="rId56"/>
    <sheet name="Credit_2001Q4" sheetId="8" r:id="rId57"/>
    <sheet name="Reg_Percent_2021" sheetId="92" r:id="rId58"/>
    <sheet name="Reg_Percent_2020" sheetId="86" r:id="rId59"/>
    <sheet name="Reg_Percent_2019" sheetId="82" r:id="rId60"/>
    <sheet name="Reg_Percent_2018" sheetId="77" r:id="rId61"/>
    <sheet name="Reg_Percent_2017" sheetId="72" r:id="rId62"/>
    <sheet name="Reg_Percent_2016" sheetId="67" r:id="rId63"/>
    <sheet name="Reg_Percent_2015" sheetId="62" r:id="rId64"/>
    <sheet name="Reg_Percent_2014" sheetId="59" r:id="rId65"/>
    <sheet name="Reg_Percent_2013" sheetId="53" r:id="rId66"/>
    <sheet name="Reg_Percent_2012" sheetId="44" r:id="rId67"/>
    <sheet name="Reg_Percent_2011" sheetId="38" r:id="rId68"/>
    <sheet name="Reg_Percent_2010" sheetId="48" r:id="rId69"/>
    <sheet name="Scale" sheetId="41" r:id="rId70"/>
  </sheets>
  <externalReferences>
    <externalReference r:id="rId71"/>
    <externalReference r:id="rId72"/>
    <externalReference r:id="rId73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C68" i="93" l="1"/>
  <c r="B68" i="93" s="1"/>
  <c r="AH67" i="93"/>
  <c r="AG67" i="93"/>
  <c r="AF67" i="93"/>
  <c r="AH66" i="93"/>
  <c r="AG66" i="93"/>
  <c r="AF66" i="93"/>
  <c r="AH65" i="93"/>
  <c r="AG65" i="93"/>
  <c r="AF65" i="93"/>
  <c r="AH64" i="93"/>
  <c r="AG64" i="93"/>
  <c r="AF64" i="93"/>
  <c r="BI63" i="93"/>
  <c r="BH63" i="93"/>
  <c r="BG63" i="93"/>
  <c r="BF63" i="93"/>
  <c r="AV63" i="93"/>
  <c r="AH63" i="93"/>
  <c r="AG63" i="93"/>
  <c r="AF63" i="93"/>
  <c r="AV62" i="93"/>
  <c r="AH62" i="93"/>
  <c r="AG62" i="93"/>
  <c r="AF62" i="93"/>
  <c r="G62" i="93"/>
  <c r="AV61" i="93"/>
  <c r="AV60" i="93"/>
  <c r="AH60" i="93"/>
  <c r="AG60" i="93"/>
  <c r="AF60" i="93"/>
  <c r="AF61" i="93" s="1"/>
  <c r="G60" i="93"/>
  <c r="E60" i="93" s="1"/>
  <c r="AV59" i="93"/>
  <c r="AH59" i="93"/>
  <c r="AG59" i="93"/>
  <c r="AF59" i="93"/>
  <c r="G59" i="93"/>
  <c r="E59" i="93" s="1"/>
  <c r="AV58" i="93"/>
  <c r="AH58" i="93"/>
  <c r="AG58" i="93"/>
  <c r="AF58" i="93"/>
  <c r="G58" i="93"/>
  <c r="AV57" i="93"/>
  <c r="AH57" i="93"/>
  <c r="AG57" i="93"/>
  <c r="AF57" i="93"/>
  <c r="G57" i="93"/>
  <c r="AV56" i="93"/>
  <c r="AH56" i="93"/>
  <c r="AG56" i="93"/>
  <c r="AF56" i="93"/>
  <c r="G56" i="93"/>
  <c r="AV55" i="93"/>
  <c r="AH55" i="93"/>
  <c r="AG55" i="93"/>
  <c r="AF55" i="93"/>
  <c r="G55" i="93"/>
  <c r="AV54" i="93"/>
  <c r="AH54" i="93"/>
  <c r="AG54" i="93"/>
  <c r="AF54" i="93"/>
  <c r="G54" i="93"/>
  <c r="AV53" i="93"/>
  <c r="AH53" i="93"/>
  <c r="AG53" i="93"/>
  <c r="AF53" i="93"/>
  <c r="G53" i="93"/>
  <c r="AV52" i="93"/>
  <c r="AH52" i="93"/>
  <c r="AG52" i="93"/>
  <c r="AF52" i="93"/>
  <c r="AV51" i="93"/>
  <c r="AH51" i="93"/>
  <c r="AG51" i="93"/>
  <c r="AF51" i="93"/>
  <c r="AV50" i="93"/>
  <c r="AH50" i="93"/>
  <c r="AG50" i="93"/>
  <c r="AF50" i="93"/>
  <c r="AV49" i="93"/>
  <c r="AV48" i="93"/>
  <c r="AV47" i="93"/>
  <c r="AV46" i="93"/>
  <c r="AV45" i="93"/>
  <c r="AV44" i="93"/>
  <c r="AV43" i="93"/>
  <c r="AV42" i="93"/>
  <c r="AV41" i="93"/>
  <c r="AV40" i="93"/>
  <c r="AV39" i="93"/>
  <c r="AV38" i="93"/>
  <c r="AV37" i="93"/>
  <c r="AV36" i="93"/>
  <c r="AV35" i="93"/>
  <c r="AV34" i="93"/>
  <c r="AV33" i="93"/>
  <c r="AV32" i="93"/>
  <c r="AV31" i="93"/>
  <c r="AV30" i="93"/>
  <c r="AV29" i="93"/>
  <c r="AV28" i="93"/>
  <c r="AV27" i="93"/>
  <c r="AV26" i="93"/>
  <c r="AV25" i="93"/>
  <c r="AV24" i="93"/>
  <c r="AV23" i="93"/>
  <c r="AV22" i="93"/>
  <c r="AV21" i="93"/>
  <c r="AV20" i="93"/>
  <c r="AV19" i="93"/>
  <c r="AV18" i="93"/>
  <c r="AV17" i="93"/>
  <c r="AV16" i="93"/>
  <c r="L16" i="93" a="1"/>
  <c r="L16" i="93" s="1"/>
  <c r="AV15" i="93"/>
  <c r="AV14" i="93"/>
  <c r="AV13" i="93"/>
  <c r="L13" i="93"/>
  <c r="AV12" i="93"/>
  <c r="L12" i="93"/>
  <c r="AV11" i="93"/>
  <c r="L11" i="93"/>
  <c r="AV10" i="93"/>
  <c r="L10" i="93"/>
  <c r="AV9" i="93"/>
  <c r="L9" i="93"/>
  <c r="AV8" i="93"/>
  <c r="L8" i="93"/>
  <c r="BC7" i="93"/>
  <c r="BC8" i="93" s="1"/>
  <c r="AV7" i="93"/>
  <c r="AF7" i="93"/>
  <c r="AF8" i="93" s="1"/>
  <c r="AF9" i="93" s="1"/>
  <c r="AF10" i="93" s="1"/>
  <c r="AF11" i="93" s="1"/>
  <c r="AF12" i="93" s="1"/>
  <c r="AF13" i="93" s="1"/>
  <c r="AF14" i="93" s="1"/>
  <c r="AF15" i="93" s="1"/>
  <c r="AF16" i="93" s="1"/>
  <c r="AF17" i="93" s="1"/>
  <c r="AF18" i="93" s="1"/>
  <c r="AF19" i="93" s="1"/>
  <c r="AF20" i="93" s="1"/>
  <c r="AF21" i="93" s="1"/>
  <c r="AF22" i="93" s="1"/>
  <c r="AF23" i="93" s="1"/>
  <c r="AF24" i="93" s="1"/>
  <c r="AF25" i="93" s="1"/>
  <c r="AF26" i="93" s="1"/>
  <c r="AF27" i="93" s="1"/>
  <c r="AF28" i="93" s="1"/>
  <c r="AF29" i="93" s="1"/>
  <c r="AF30" i="93" s="1"/>
  <c r="AF31" i="93" s="1"/>
  <c r="AF32" i="93" s="1"/>
  <c r="AF33" i="93" s="1"/>
  <c r="AF34" i="93" s="1"/>
  <c r="AF35" i="93" s="1"/>
  <c r="AF36" i="93" s="1"/>
  <c r="AF37" i="93" s="1"/>
  <c r="AF38" i="93" s="1"/>
  <c r="AF39" i="93" s="1"/>
  <c r="AF40" i="93" s="1"/>
  <c r="AF41" i="93" s="1"/>
  <c r="AF42" i="93" s="1"/>
  <c r="AF43" i="93" s="1"/>
  <c r="AF44" i="93" s="1"/>
  <c r="AF45" i="93" s="1"/>
  <c r="AF46" i="93" s="1"/>
  <c r="AF47" i="93" s="1"/>
  <c r="AF48" i="93" s="1"/>
  <c r="AF49" i="93" s="1"/>
  <c r="AL4" i="93"/>
  <c r="AK4" i="93"/>
  <c r="AK2" i="93" s="1"/>
  <c r="AJ4" i="93"/>
  <c r="AJ2" i="93" s="1"/>
  <c r="G3" i="93"/>
  <c r="AL2" i="93"/>
  <c r="E2" i="93"/>
  <c r="E3" i="93" s="1"/>
  <c r="A1" i="93"/>
  <c r="AJ8" i="93"/>
  <c r="AJ9" i="93"/>
  <c r="G7" i="93"/>
  <c r="AJ7" i="93"/>
  <c r="AJ15" i="93"/>
  <c r="E6" i="93"/>
  <c r="AW12" i="93" l="1"/>
  <c r="AX12" i="93" s="1"/>
  <c r="BC9" i="93"/>
  <c r="AW7" i="93"/>
  <c r="AW8" i="93"/>
  <c r="AX8" i="93" s="1"/>
  <c r="AW9" i="93"/>
  <c r="AX9" i="93" s="1"/>
  <c r="AW10" i="93"/>
  <c r="AX10" i="93" s="1"/>
  <c r="AW11" i="93"/>
  <c r="AX11" i="93" s="1"/>
  <c r="AX7" i="93"/>
  <c r="AW13" i="93"/>
  <c r="AX13" i="93" s="1"/>
  <c r="AW14" i="93"/>
  <c r="AX14" i="93" s="1"/>
  <c r="AW15" i="93"/>
  <c r="AW62" i="93"/>
  <c r="AW59" i="93"/>
  <c r="AW51" i="93"/>
  <c r="AW60" i="93"/>
  <c r="AX60" i="93" s="1"/>
  <c r="AW57" i="93"/>
  <c r="AX57" i="93" s="1"/>
  <c r="AW55" i="93"/>
  <c r="AX55" i="93" s="1"/>
  <c r="AW53" i="93"/>
  <c r="AX53" i="93" s="1"/>
  <c r="AW50" i="93"/>
  <c r="AX50" i="93" s="1"/>
  <c r="AW46" i="93"/>
  <c r="AX46" i="93" s="1"/>
  <c r="AW42" i="93"/>
  <c r="AX42" i="93" s="1"/>
  <c r="AW38" i="93"/>
  <c r="AW34" i="93"/>
  <c r="AW36" i="93"/>
  <c r="AX36" i="93" s="1"/>
  <c r="AW32" i="93"/>
  <c r="AX32" i="93" s="1"/>
  <c r="AW30" i="93"/>
  <c r="AW28" i="93"/>
  <c r="AX28" i="93" s="1"/>
  <c r="AW18" i="93"/>
  <c r="AX18" i="93" s="1"/>
  <c r="AW27" i="93"/>
  <c r="AX27" i="93" s="1"/>
  <c r="AW24" i="93"/>
  <c r="AX24" i="93" s="1"/>
  <c r="AW20" i="93"/>
  <c r="AX20" i="93" s="1"/>
  <c r="AW16" i="93"/>
  <c r="AX16" i="93" s="1"/>
  <c r="L14" i="93"/>
  <c r="M11" i="93" s="1"/>
  <c r="AX15" i="93"/>
  <c r="AW17" i="93"/>
  <c r="AX17" i="93" s="1"/>
  <c r="AW21" i="93"/>
  <c r="AX21" i="93" s="1"/>
  <c r="AW25" i="93"/>
  <c r="AX25" i="93" s="1"/>
  <c r="AW29" i="93"/>
  <c r="AW31" i="93"/>
  <c r="AX31" i="93" s="1"/>
  <c r="AX34" i="93"/>
  <c r="AX38" i="93"/>
  <c r="AW19" i="93"/>
  <c r="AX19" i="93" s="1"/>
  <c r="AW23" i="93"/>
  <c r="AX23" i="93" s="1"/>
  <c r="AX29" i="93"/>
  <c r="AW35" i="93"/>
  <c r="AX35" i="93" s="1"/>
  <c r="AW39" i="93"/>
  <c r="AX39" i="93" s="1"/>
  <c r="AW22" i="93"/>
  <c r="AX22" i="93" s="1"/>
  <c r="AW26" i="93"/>
  <c r="AX26" i="93" s="1"/>
  <c r="AX30" i="93"/>
  <c r="AW33" i="93"/>
  <c r="AX33" i="93" s="1"/>
  <c r="AW37" i="93"/>
  <c r="AX37" i="93" s="1"/>
  <c r="AW41" i="93"/>
  <c r="AX41" i="93" s="1"/>
  <c r="AW40" i="93"/>
  <c r="AX40" i="93" s="1"/>
  <c r="AW43" i="93"/>
  <c r="AX43" i="93" s="1"/>
  <c r="AW47" i="93"/>
  <c r="AX47" i="93" s="1"/>
  <c r="AW61" i="93"/>
  <c r="AX61" i="93" s="1"/>
  <c r="AX59" i="93"/>
  <c r="AX62" i="93"/>
  <c r="AX63" i="93"/>
  <c r="AW44" i="93"/>
  <c r="AX44" i="93" s="1"/>
  <c r="AW45" i="93"/>
  <c r="AX45" i="93" s="1"/>
  <c r="AX51" i="93"/>
  <c r="AX52" i="93"/>
  <c r="AW52" i="93"/>
  <c r="AW54" i="93"/>
  <c r="AX54" i="93" s="1"/>
  <c r="AW56" i="93"/>
  <c r="AX56" i="93" s="1"/>
  <c r="AW58" i="93"/>
  <c r="AX58" i="93" s="1"/>
  <c r="AW63" i="93"/>
  <c r="AW49" i="93"/>
  <c r="AX49" i="93" s="1"/>
  <c r="AW48" i="93"/>
  <c r="AX48" i="93" s="1"/>
  <c r="AK15" i="93"/>
  <c r="E7" i="93"/>
  <c r="AK8" i="93"/>
  <c r="G48" i="93"/>
  <c r="G43" i="93"/>
  <c r="G38" i="93"/>
  <c r="G35" i="93"/>
  <c r="G36" i="93"/>
  <c r="G24" i="93"/>
  <c r="G13" i="93"/>
  <c r="G33" i="93"/>
  <c r="G29" i="93"/>
  <c r="AJ63" i="93"/>
  <c r="AJ52" i="93"/>
  <c r="AJ59" i="93"/>
  <c r="AJ60" i="93"/>
  <c r="AJ50" i="93"/>
  <c r="AJ49" i="93"/>
  <c r="AJ43" i="93"/>
  <c r="AJ30" i="93"/>
  <c r="AJ31" i="93"/>
  <c r="AJ28" i="93"/>
  <c r="AJ33" i="93"/>
  <c r="AJ21" i="93"/>
  <c r="AJ14" i="93"/>
  <c r="G8" i="93"/>
  <c r="G12" i="93"/>
  <c r="AL15" i="93"/>
  <c r="AL9" i="93"/>
  <c r="G61" i="93"/>
  <c r="G41" i="93"/>
  <c r="G34" i="93"/>
  <c r="G31" i="93"/>
  <c r="G32" i="93"/>
  <c r="G20" i="93"/>
  <c r="G25" i="93"/>
  <c r="G27" i="93"/>
  <c r="G23" i="93"/>
  <c r="AJ58" i="93"/>
  <c r="AJ46" i="93"/>
  <c r="AJ51" i="93"/>
  <c r="AJ57" i="93"/>
  <c r="AJ48" i="93"/>
  <c r="AJ41" i="93"/>
  <c r="AJ42" i="93"/>
  <c r="AJ44" i="93"/>
  <c r="AJ40" i="93"/>
  <c r="AJ24" i="93"/>
  <c r="AJ29" i="93"/>
  <c r="AJ17" i="93"/>
  <c r="AJ27" i="93"/>
  <c r="G9" i="93"/>
  <c r="AJ12" i="93"/>
  <c r="AJ10" i="93"/>
  <c r="AL7" i="93"/>
  <c r="AK9" i="93"/>
  <c r="G46" i="93"/>
  <c r="G49" i="93"/>
  <c r="G37" i="93"/>
  <c r="G30" i="93"/>
  <c r="G45" i="93"/>
  <c r="G28" i="93"/>
  <c r="G16" i="93"/>
  <c r="G21" i="93"/>
  <c r="G22" i="93"/>
  <c r="G19" i="93"/>
  <c r="AJ56" i="93"/>
  <c r="AJ66" i="93"/>
  <c r="AJ47" i="93"/>
  <c r="AJ55" i="93"/>
  <c r="AJ64" i="93"/>
  <c r="AJ37" i="93"/>
  <c r="AJ38" i="93"/>
  <c r="AJ39" i="93"/>
  <c r="AJ36" i="93"/>
  <c r="AJ20" i="93"/>
  <c r="AJ26" i="93"/>
  <c r="AJ22" i="93"/>
  <c r="AJ23" i="93"/>
  <c r="G10" i="93"/>
  <c r="AJ11" i="93"/>
  <c r="AK7" i="93"/>
  <c r="AL8" i="93"/>
  <c r="G47" i="93"/>
  <c r="G44" i="93"/>
  <c r="G42" i="93"/>
  <c r="G39" i="93"/>
  <c r="G40" i="93"/>
  <c r="G26" i="93"/>
  <c r="G14" i="93"/>
  <c r="G17" i="93"/>
  <c r="G18" i="93"/>
  <c r="AJ65" i="93"/>
  <c r="AJ54" i="93"/>
  <c r="AJ62" i="93"/>
  <c r="AJ67" i="93"/>
  <c r="AJ53" i="93"/>
  <c r="AJ61" i="93"/>
  <c r="AJ45" i="93"/>
  <c r="AJ34" i="93"/>
  <c r="AJ35" i="93"/>
  <c r="AJ32" i="93"/>
  <c r="AJ16" i="93"/>
  <c r="AJ25" i="93"/>
  <c r="AJ18" i="93"/>
  <c r="AJ19" i="93"/>
  <c r="G11" i="93"/>
  <c r="G15" i="93"/>
  <c r="AJ13" i="93"/>
  <c r="AY49" i="93" l="1"/>
  <c r="AY48" i="93"/>
  <c r="AL53" i="93"/>
  <c r="AK53" i="93"/>
  <c r="AM53" i="93" s="1"/>
  <c r="AL67" i="93"/>
  <c r="AK67" i="93"/>
  <c r="AM67" i="93" s="1"/>
  <c r="AK62" i="93"/>
  <c r="AM62" i="93" s="1"/>
  <c r="AL62" i="93"/>
  <c r="AL54" i="93"/>
  <c r="AK54" i="93"/>
  <c r="AM54" i="93" s="1"/>
  <c r="AL65" i="93"/>
  <c r="AK65" i="93"/>
  <c r="AM65" i="93" s="1"/>
  <c r="AH8" i="93"/>
  <c r="AG8" i="93"/>
  <c r="AM7" i="93"/>
  <c r="AL64" i="93"/>
  <c r="AK64" i="93"/>
  <c r="AM64" i="93" s="1"/>
  <c r="AL55" i="93"/>
  <c r="AK55" i="93"/>
  <c r="AM55" i="93" s="1"/>
  <c r="AK66" i="93"/>
  <c r="AM66" i="93" s="1"/>
  <c r="AL66" i="93"/>
  <c r="AL56" i="93"/>
  <c r="AK56" i="93"/>
  <c r="AM56" i="93" s="1"/>
  <c r="AM9" i="93"/>
  <c r="AH7" i="93"/>
  <c r="AG7" i="93"/>
  <c r="AL57" i="93"/>
  <c r="AK57" i="93"/>
  <c r="AM57" i="93" s="1"/>
  <c r="AK51" i="93"/>
  <c r="AM51" i="93" s="1"/>
  <c r="AL51" i="93"/>
  <c r="AL58" i="93"/>
  <c r="AK58" i="93"/>
  <c r="AM58" i="93" s="1"/>
  <c r="AH9" i="93"/>
  <c r="AG9" i="93"/>
  <c r="AH15" i="93"/>
  <c r="AG15" i="93"/>
  <c r="AL50" i="93"/>
  <c r="AK50" i="93"/>
  <c r="AM50" i="93" s="1"/>
  <c r="AL60" i="93"/>
  <c r="AK60" i="93"/>
  <c r="AM60" i="93" s="1"/>
  <c r="AK59" i="93"/>
  <c r="AM59" i="93" s="1"/>
  <c r="AL59" i="93"/>
  <c r="AL52" i="93"/>
  <c r="AK52" i="93"/>
  <c r="AM52" i="93" s="1"/>
  <c r="AL63" i="93"/>
  <c r="AK63" i="93"/>
  <c r="AM63" i="93" s="1"/>
  <c r="AM8" i="93"/>
  <c r="AM15" i="93"/>
  <c r="AY22" i="93"/>
  <c r="AY23" i="93"/>
  <c r="AY16" i="93"/>
  <c r="AY18" i="93"/>
  <c r="AY9" i="93"/>
  <c r="AY33" i="93"/>
  <c r="AY45" i="93"/>
  <c r="AY40" i="93"/>
  <c r="AY19" i="93"/>
  <c r="AY20" i="93"/>
  <c r="AY8" i="93"/>
  <c r="AY54" i="93"/>
  <c r="AY58" i="93"/>
  <c r="AY44" i="93"/>
  <c r="AY24" i="93"/>
  <c r="AY11" i="93"/>
  <c r="AY37" i="93"/>
  <c r="AY26" i="93"/>
  <c r="AY27" i="93"/>
  <c r="AY14" i="93"/>
  <c r="AY10" i="93"/>
  <c r="AY52" i="93"/>
  <c r="AY62" i="93"/>
  <c r="AY41" i="93"/>
  <c r="AY30" i="93"/>
  <c r="AY35" i="93"/>
  <c r="AY31" i="93"/>
  <c r="AY17" i="93"/>
  <c r="AY28" i="93"/>
  <c r="AY50" i="93"/>
  <c r="AY60" i="93"/>
  <c r="AY7" i="93"/>
  <c r="M10" i="93"/>
  <c r="AY12" i="93"/>
  <c r="AY56" i="93"/>
  <c r="AY51" i="93"/>
  <c r="AY59" i="93"/>
  <c r="AY29" i="93"/>
  <c r="AY42" i="93"/>
  <c r="AY15" i="93"/>
  <c r="AY53" i="93"/>
  <c r="AY13" i="93"/>
  <c r="C77" i="93"/>
  <c r="M8" i="93"/>
  <c r="AY47" i="93"/>
  <c r="AY38" i="93"/>
  <c r="AY25" i="93"/>
  <c r="Y14" i="93"/>
  <c r="AY32" i="93"/>
  <c r="AY55" i="93"/>
  <c r="AY63" i="93"/>
  <c r="AY61" i="93"/>
  <c r="AY43" i="93"/>
  <c r="AY39" i="93"/>
  <c r="AY34" i="93"/>
  <c r="AY21" i="93"/>
  <c r="M14" i="93"/>
  <c r="L5" i="93"/>
  <c r="AY36" i="93"/>
  <c r="AY46" i="93"/>
  <c r="AY57" i="93"/>
  <c r="M13" i="93"/>
  <c r="M12" i="93"/>
  <c r="BC10" i="93"/>
  <c r="M9" i="93"/>
  <c r="AK13" i="93"/>
  <c r="AL19" i="93"/>
  <c r="AK25" i="93"/>
  <c r="AL32" i="93"/>
  <c r="AK34" i="93"/>
  <c r="AL61" i="93"/>
  <c r="E18" i="93"/>
  <c r="E40" i="93"/>
  <c r="E47" i="93"/>
  <c r="AL11" i="93"/>
  <c r="AK23" i="93"/>
  <c r="AK26" i="93"/>
  <c r="AK36" i="93"/>
  <c r="AL38" i="93"/>
  <c r="AL47" i="93"/>
  <c r="E16" i="93"/>
  <c r="E37" i="93"/>
  <c r="AK12" i="93"/>
  <c r="AK27" i="93"/>
  <c r="AL29" i="93"/>
  <c r="AK40" i="93"/>
  <c r="AL42" i="93"/>
  <c r="AK48" i="93"/>
  <c r="E20" i="93"/>
  <c r="E41" i="93"/>
  <c r="AL14" i="93"/>
  <c r="AL33" i="93"/>
  <c r="AK31" i="93"/>
  <c r="AK43" i="93"/>
  <c r="E13" i="93"/>
  <c r="E38" i="93"/>
  <c r="AL13" i="93"/>
  <c r="AK19" i="93"/>
  <c r="AL25" i="93"/>
  <c r="AK32" i="93"/>
  <c r="AL34" i="93"/>
  <c r="AK61" i="93"/>
  <c r="E17" i="93"/>
  <c r="E39" i="93"/>
  <c r="AK11" i="93"/>
  <c r="AL22" i="93"/>
  <c r="AL20" i="93"/>
  <c r="AL39" i="93"/>
  <c r="AL37" i="93"/>
  <c r="E19" i="93"/>
  <c r="E28" i="93"/>
  <c r="E49" i="93"/>
  <c r="AL12" i="93"/>
  <c r="AK17" i="93"/>
  <c r="AL24" i="93"/>
  <c r="AL44" i="93"/>
  <c r="AL41" i="93"/>
  <c r="AL46" i="93"/>
  <c r="E23" i="93"/>
  <c r="E32" i="93"/>
  <c r="E61" i="93"/>
  <c r="AK14" i="93"/>
  <c r="AK33" i="93"/>
  <c r="AL31" i="93"/>
  <c r="AL43" i="93"/>
  <c r="E24" i="93"/>
  <c r="E43" i="93"/>
  <c r="E15" i="93"/>
  <c r="AL18" i="93"/>
  <c r="AL16" i="93"/>
  <c r="AL35" i="93"/>
  <c r="AL45" i="93"/>
  <c r="E14" i="93"/>
  <c r="E42" i="93"/>
  <c r="E10" i="93"/>
  <c r="AK22" i="93"/>
  <c r="AK20" i="93"/>
  <c r="AK39" i="93"/>
  <c r="AK37" i="93"/>
  <c r="E22" i="93"/>
  <c r="E45" i="93"/>
  <c r="E46" i="93"/>
  <c r="AL10" i="93"/>
  <c r="E9" i="93"/>
  <c r="AL17" i="93"/>
  <c r="AK24" i="93"/>
  <c r="AK44" i="93"/>
  <c r="AK41" i="93"/>
  <c r="AK46" i="93"/>
  <c r="E27" i="93"/>
  <c r="E31" i="93"/>
  <c r="E12" i="93"/>
  <c r="AK21" i="93"/>
  <c r="AK28" i="93"/>
  <c r="AL30" i="93"/>
  <c r="AL49" i="93"/>
  <c r="E29" i="93"/>
  <c r="E36" i="93"/>
  <c r="E48" i="93"/>
  <c r="E11" i="93"/>
  <c r="AK18" i="93"/>
  <c r="AK16" i="93"/>
  <c r="AK35" i="93"/>
  <c r="AK45" i="93"/>
  <c r="E26" i="93"/>
  <c r="E44" i="93"/>
  <c r="AL23" i="93"/>
  <c r="AL26" i="93"/>
  <c r="AL36" i="93"/>
  <c r="AK38" i="93"/>
  <c r="AK47" i="93"/>
  <c r="E21" i="93"/>
  <c r="E30" i="93"/>
  <c r="AK10" i="93"/>
  <c r="AL27" i="93"/>
  <c r="AK29" i="93"/>
  <c r="AL40" i="93"/>
  <c r="AK42" i="93"/>
  <c r="AL48" i="93"/>
  <c r="E25" i="93"/>
  <c r="E34" i="93"/>
  <c r="E8" i="93"/>
  <c r="AL21" i="93"/>
  <c r="AL28" i="93"/>
  <c r="AK30" i="93"/>
  <c r="AK49" i="93"/>
  <c r="E33" i="93"/>
  <c r="E35" i="93"/>
  <c r="BD9" i="93" l="1"/>
  <c r="AM49" i="93"/>
  <c r="AM30" i="93"/>
  <c r="AH28" i="93"/>
  <c r="AG28" i="93"/>
  <c r="AH21" i="93"/>
  <c r="AG21" i="93"/>
  <c r="U16" i="93" a="1"/>
  <c r="U16" i="93" s="1"/>
  <c r="R11" i="93"/>
  <c r="O9" i="93"/>
  <c r="U12" i="93"/>
  <c r="V12" i="93" s="1"/>
  <c r="U10" i="93"/>
  <c r="V10" i="93" s="1"/>
  <c r="U13" i="93"/>
  <c r="V13" i="93" s="1"/>
  <c r="R16" i="93" a="1"/>
  <c r="R16" i="93" s="1"/>
  <c r="R10" i="93"/>
  <c r="O8" i="93"/>
  <c r="O12" i="93"/>
  <c r="O10" i="93"/>
  <c r="R13" i="93"/>
  <c r="S13" i="93" s="1"/>
  <c r="R8" i="93"/>
  <c r="R9" i="93"/>
  <c r="U11" i="93"/>
  <c r="V11" i="93" s="1"/>
  <c r="U9" i="93"/>
  <c r="V9" i="93" s="1"/>
  <c r="R12" i="93"/>
  <c r="O13" i="93"/>
  <c r="O16" i="93" a="1"/>
  <c r="O16" i="93" s="1"/>
  <c r="O11" i="93"/>
  <c r="U8" i="93"/>
  <c r="AG48" i="93"/>
  <c r="AH48" i="93"/>
  <c r="AM42" i="93"/>
  <c r="AH40" i="93"/>
  <c r="AG40" i="93"/>
  <c r="AM29" i="93"/>
  <c r="AH27" i="93"/>
  <c r="AG27" i="93"/>
  <c r="AM10" i="93"/>
  <c r="AM47" i="93"/>
  <c r="AM38" i="93"/>
  <c r="AH36" i="93"/>
  <c r="AG36" i="93"/>
  <c r="AG26" i="93"/>
  <c r="AH26" i="93"/>
  <c r="AH23" i="93"/>
  <c r="AG23" i="93"/>
  <c r="AM45" i="93"/>
  <c r="AM35" i="93"/>
  <c r="AM16" i="93"/>
  <c r="AM18" i="93"/>
  <c r="AH49" i="93"/>
  <c r="AG49" i="93"/>
  <c r="AH30" i="93"/>
  <c r="AG30" i="93"/>
  <c r="AM28" i="93"/>
  <c r="AM21" i="93"/>
  <c r="AM46" i="93"/>
  <c r="AM41" i="93"/>
  <c r="AM44" i="93"/>
  <c r="AM24" i="93"/>
  <c r="AH17" i="93"/>
  <c r="AG17" i="93"/>
  <c r="AH10" i="93"/>
  <c r="AG10" i="93"/>
  <c r="AM37" i="93"/>
  <c r="AM39" i="93"/>
  <c r="AM20" i="93"/>
  <c r="AM22" i="93"/>
  <c r="AH45" i="93"/>
  <c r="AG45" i="93"/>
  <c r="AG35" i="93"/>
  <c r="AH35" i="93"/>
  <c r="AH16" i="93"/>
  <c r="AG16" i="93"/>
  <c r="AG18" i="93"/>
  <c r="AH18" i="93"/>
  <c r="AH43" i="93"/>
  <c r="AG43" i="93"/>
  <c r="AH31" i="93"/>
  <c r="AG31" i="93"/>
  <c r="AM33" i="93"/>
  <c r="AM14" i="93"/>
  <c r="AH46" i="93"/>
  <c r="AG46" i="93"/>
  <c r="AH41" i="93"/>
  <c r="AG41" i="93"/>
  <c r="AG44" i="93"/>
  <c r="AH44" i="93"/>
  <c r="AH24" i="93"/>
  <c r="AG24" i="93"/>
  <c r="AM17" i="93"/>
  <c r="AH12" i="93"/>
  <c r="AG12" i="93"/>
  <c r="AH37" i="93"/>
  <c r="AG37" i="93"/>
  <c r="AG39" i="93"/>
  <c r="AH39" i="93"/>
  <c r="AH20" i="93"/>
  <c r="AG20" i="93"/>
  <c r="AG22" i="93"/>
  <c r="AH22" i="93"/>
  <c r="AM11" i="93"/>
  <c r="AM61" i="93"/>
  <c r="AH34" i="93"/>
  <c r="AG34" i="93"/>
  <c r="AM32" i="93"/>
  <c r="AH25" i="93"/>
  <c r="AG25" i="93"/>
  <c r="AM19" i="93"/>
  <c r="AH13" i="93"/>
  <c r="AG13" i="93"/>
  <c r="AM43" i="93"/>
  <c r="AM31" i="93"/>
  <c r="AH33" i="93"/>
  <c r="AG33" i="93"/>
  <c r="AG14" i="93"/>
  <c r="AH14" i="93"/>
  <c r="AM48" i="93"/>
  <c r="AH42" i="93"/>
  <c r="AG42" i="93"/>
  <c r="AM40" i="93"/>
  <c r="AH29" i="93"/>
  <c r="AG29" i="93"/>
  <c r="AM27" i="93"/>
  <c r="AM12" i="93"/>
  <c r="AH47" i="93"/>
  <c r="AG47" i="93"/>
  <c r="AH38" i="93"/>
  <c r="AG38" i="93"/>
  <c r="AM36" i="93"/>
  <c r="AM26" i="93"/>
  <c r="AM23" i="93"/>
  <c r="AH11" i="93"/>
  <c r="AG11" i="93"/>
  <c r="AH61" i="93"/>
  <c r="AG61" i="93"/>
  <c r="AM34" i="93"/>
  <c r="AG32" i="93"/>
  <c r="AH32" i="93"/>
  <c r="AM25" i="93"/>
  <c r="AH19" i="93"/>
  <c r="AG19" i="93"/>
  <c r="AM13" i="93"/>
  <c r="BG9" i="93"/>
  <c r="BF9" i="93"/>
  <c r="BI9" i="93"/>
  <c r="BH9" i="93"/>
  <c r="BC11" i="93"/>
  <c r="BD10" i="93"/>
  <c r="BD8" i="93"/>
  <c r="BD7" i="93"/>
  <c r="AA10" i="93" l="1"/>
  <c r="BG8" i="93"/>
  <c r="BF8" i="93"/>
  <c r="BI8" i="93"/>
  <c r="BH8" i="93"/>
  <c r="AA13" i="93"/>
  <c r="AA12" i="93"/>
  <c r="S11" i="93"/>
  <c r="U14" i="93"/>
  <c r="V8" i="93"/>
  <c r="AA8" i="93"/>
  <c r="AA14" i="93" s="1"/>
  <c r="O14" i="93"/>
  <c r="P10" i="93" s="1"/>
  <c r="BH10" i="93"/>
  <c r="BG10" i="93"/>
  <c r="BF10" i="93"/>
  <c r="BI10" i="93"/>
  <c r="R14" i="93"/>
  <c r="S12" i="93" s="1"/>
  <c r="S8" i="93"/>
  <c r="BC12" i="93"/>
  <c r="BD11" i="93"/>
  <c r="AA11" i="93"/>
  <c r="S10" i="93"/>
  <c r="BG7" i="93"/>
  <c r="BF7" i="93"/>
  <c r="BI7" i="93"/>
  <c r="BH7" i="93"/>
  <c r="AA9" i="93"/>
  <c r="P11" i="93" l="1"/>
  <c r="P9" i="93"/>
  <c r="S14" i="93"/>
  <c r="R5" i="93"/>
  <c r="P8" i="93"/>
  <c r="P12" i="93"/>
  <c r="P13" i="93"/>
  <c r="BH11" i="93"/>
  <c r="BG11" i="93"/>
  <c r="BF11" i="93"/>
  <c r="BI11" i="93"/>
  <c r="BC13" i="93"/>
  <c r="BD12" i="93"/>
  <c r="P14" i="93"/>
  <c r="O5" i="93"/>
  <c r="V14" i="93"/>
  <c r="U5" i="93"/>
  <c r="S9" i="93"/>
  <c r="BG12" i="93" l="1"/>
  <c r="BI12" i="93"/>
  <c r="BH12" i="93"/>
  <c r="BF12" i="93"/>
  <c r="BC14" i="93"/>
  <c r="BD13" i="93"/>
  <c r="BG13" i="93" l="1"/>
  <c r="BI13" i="93"/>
  <c r="BH13" i="93"/>
  <c r="BF13" i="93"/>
  <c r="BD14" i="93"/>
  <c r="BC15" i="93"/>
  <c r="BC16" i="93" l="1"/>
  <c r="BD15" i="93"/>
  <c r="BF14" i="93"/>
  <c r="BH14" i="93"/>
  <c r="BI14" i="93"/>
  <c r="BG14" i="93"/>
  <c r="BG15" i="93" l="1"/>
  <c r="BI15" i="93"/>
  <c r="BH15" i="93"/>
  <c r="BF15" i="93"/>
  <c r="BC17" i="93"/>
  <c r="BD16" i="93"/>
  <c r="BH16" i="93" l="1"/>
  <c r="BG16" i="93"/>
  <c r="BF16" i="93"/>
  <c r="BI16" i="93"/>
  <c r="BD17" i="93"/>
  <c r="BC18" i="93"/>
  <c r="BD18" i="93" l="1"/>
  <c r="BC19" i="93"/>
  <c r="BI17" i="93"/>
  <c r="BH17" i="93"/>
  <c r="BG17" i="93"/>
  <c r="BF17" i="93"/>
  <c r="BC20" i="93" l="1"/>
  <c r="BD19" i="93"/>
  <c r="BF18" i="93"/>
  <c r="BI18" i="93"/>
  <c r="BH18" i="93"/>
  <c r="BG18" i="93"/>
  <c r="BG19" i="93" l="1"/>
  <c r="BF19" i="93"/>
  <c r="BI19" i="93"/>
  <c r="BH19" i="93"/>
  <c r="BC21" i="93"/>
  <c r="BD20" i="93"/>
  <c r="BH20" i="93" l="1"/>
  <c r="BG20" i="93"/>
  <c r="BF20" i="93"/>
  <c r="BI20" i="93"/>
  <c r="BD21" i="93"/>
  <c r="BC22" i="93"/>
  <c r="BD22" i="93" l="1"/>
  <c r="BC23" i="93"/>
  <c r="BI21" i="93"/>
  <c r="BH21" i="93"/>
  <c r="BG21" i="93"/>
  <c r="BF21" i="93"/>
  <c r="BC24" i="93" l="1"/>
  <c r="BD23" i="93"/>
  <c r="BF22" i="93"/>
  <c r="BI22" i="93"/>
  <c r="BH22" i="93"/>
  <c r="BG22" i="93"/>
  <c r="BG23" i="93" l="1"/>
  <c r="BF23" i="93"/>
  <c r="BI23" i="93"/>
  <c r="BH23" i="93"/>
  <c r="BC25" i="93"/>
  <c r="BD24" i="93"/>
  <c r="BH24" i="93" l="1"/>
  <c r="BG24" i="93"/>
  <c r="BF24" i="93"/>
  <c r="BI24" i="93"/>
  <c r="BD25" i="93"/>
  <c r="BC26" i="93"/>
  <c r="BC27" i="93" l="1"/>
  <c r="BD26" i="93"/>
  <c r="BI25" i="93"/>
  <c r="BF25" i="93"/>
  <c r="BH25" i="93"/>
  <c r="BG25" i="93"/>
  <c r="BF26" i="93" l="1"/>
  <c r="BH26" i="93"/>
  <c r="BG26" i="93"/>
  <c r="BI26" i="93"/>
  <c r="BC28" i="93"/>
  <c r="BD27" i="93"/>
  <c r="BG27" i="93" l="1"/>
  <c r="BI27" i="93"/>
  <c r="BH27" i="93"/>
  <c r="BF27" i="93"/>
  <c r="BC29" i="93"/>
  <c r="BD28" i="93"/>
  <c r="BF28" i="93" l="1"/>
  <c r="BH28" i="93"/>
  <c r="BI28" i="93"/>
  <c r="BG28" i="93"/>
  <c r="BC30" i="93"/>
  <c r="BD29" i="93"/>
  <c r="BG29" i="93" l="1"/>
  <c r="BF29" i="93"/>
  <c r="BI29" i="93"/>
  <c r="BH29" i="93"/>
  <c r="BC31" i="93"/>
  <c r="BD30" i="93"/>
  <c r="BH30" i="93" l="1"/>
  <c r="BG30" i="93"/>
  <c r="BF30" i="93"/>
  <c r="BI30" i="93"/>
  <c r="BD31" i="93"/>
  <c r="BC32" i="93"/>
  <c r="BC33" i="93" l="1"/>
  <c r="BD32" i="93"/>
  <c r="BI31" i="93"/>
  <c r="BH31" i="93"/>
  <c r="BG31" i="93"/>
  <c r="BF31" i="93"/>
  <c r="BF32" i="93" l="1"/>
  <c r="BI32" i="93"/>
  <c r="BH32" i="93"/>
  <c r="BG32" i="93"/>
  <c r="BC34" i="93"/>
  <c r="BD33" i="93"/>
  <c r="BH33" i="93" l="1"/>
  <c r="BG33" i="93"/>
  <c r="BF33" i="93"/>
  <c r="BI33" i="93"/>
  <c r="BD34" i="93"/>
  <c r="BC35" i="93"/>
  <c r="BD35" i="93" l="1"/>
  <c r="BC36" i="93"/>
  <c r="BI34" i="93"/>
  <c r="BH34" i="93"/>
  <c r="BG34" i="93"/>
  <c r="BF34" i="93"/>
  <c r="BC37" i="93" l="1"/>
  <c r="BD36" i="93"/>
  <c r="BF35" i="93"/>
  <c r="BI35" i="93"/>
  <c r="BH35" i="93"/>
  <c r="BG35" i="93"/>
  <c r="BG36" i="93" l="1"/>
  <c r="BF36" i="93"/>
  <c r="BI36" i="93"/>
  <c r="BH36" i="93"/>
  <c r="BC38" i="93"/>
  <c r="BD37" i="93"/>
  <c r="BH37" i="93" l="1"/>
  <c r="BG37" i="93"/>
  <c r="BF37" i="93"/>
  <c r="BI37" i="93"/>
  <c r="BD38" i="93"/>
  <c r="BC39" i="93"/>
  <c r="BD39" i="93" l="1"/>
  <c r="BC40" i="93"/>
  <c r="BI38" i="93"/>
  <c r="BH38" i="93"/>
  <c r="BG38" i="93"/>
  <c r="BF38" i="93"/>
  <c r="BC41" i="93" l="1"/>
  <c r="BD40" i="93"/>
  <c r="BF39" i="93"/>
  <c r="BI39" i="93"/>
  <c r="BH39" i="93"/>
  <c r="BG39" i="93"/>
  <c r="BG40" i="93" l="1"/>
  <c r="BF40" i="93"/>
  <c r="BI40" i="93"/>
  <c r="BH40" i="93"/>
  <c r="BC42" i="93"/>
  <c r="BD41" i="93"/>
  <c r="BC43" i="93" l="1"/>
  <c r="BD42" i="93"/>
  <c r="BH41" i="93"/>
  <c r="BG41" i="93"/>
  <c r="BF41" i="93"/>
  <c r="BI41" i="93"/>
  <c r="BH42" i="93" l="1"/>
  <c r="BF42" i="93"/>
  <c r="BI42" i="93"/>
  <c r="BG42" i="93"/>
  <c r="BD43" i="93"/>
  <c r="BC44" i="93"/>
  <c r="BD44" i="93" l="1"/>
  <c r="BC45" i="93"/>
  <c r="BI43" i="93"/>
  <c r="BH43" i="93"/>
  <c r="BG43" i="93"/>
  <c r="BF43" i="93"/>
  <c r="BC46" i="93" l="1"/>
  <c r="BD45" i="93"/>
  <c r="BF44" i="93"/>
  <c r="BI44" i="93"/>
  <c r="BH44" i="93"/>
  <c r="BG44" i="93"/>
  <c r="BG45" i="93" l="1"/>
  <c r="BF45" i="93"/>
  <c r="BI45" i="93"/>
  <c r="BH45" i="93"/>
  <c r="BC47" i="93"/>
  <c r="BD46" i="93"/>
  <c r="BH46" i="93" l="1"/>
  <c r="BG46" i="93"/>
  <c r="BF46" i="93"/>
  <c r="BI46" i="93"/>
  <c r="BD47" i="93"/>
  <c r="BC48" i="93"/>
  <c r="BD48" i="93" l="1"/>
  <c r="BC49" i="93"/>
  <c r="BI47" i="93"/>
  <c r="BH47" i="93"/>
  <c r="BG47" i="93"/>
  <c r="BF47" i="93"/>
  <c r="BC50" i="93" l="1"/>
  <c r="BD49" i="93"/>
  <c r="BF48" i="93"/>
  <c r="BI48" i="93"/>
  <c r="BH48" i="93"/>
  <c r="BG48" i="93"/>
  <c r="BG49" i="93" l="1"/>
  <c r="BF49" i="93"/>
  <c r="BI49" i="93"/>
  <c r="BH49" i="93"/>
  <c r="BC51" i="93"/>
  <c r="BD50" i="93"/>
  <c r="BF50" i="93" l="1"/>
  <c r="BI50" i="93"/>
  <c r="BH50" i="93"/>
  <c r="BG50" i="93"/>
  <c r="BC52" i="93"/>
  <c r="BD51" i="93"/>
  <c r="BC53" i="93" l="1"/>
  <c r="BD52" i="93"/>
  <c r="BI51" i="93" l="1"/>
  <c r="BH51" i="93"/>
  <c r="BG51" i="93"/>
  <c r="BF51" i="93"/>
  <c r="BC54" i="93"/>
  <c r="BD53" i="93"/>
  <c r="BH52" i="93" l="1"/>
  <c r="BG52" i="93"/>
  <c r="BF52" i="93"/>
  <c r="BI52" i="93"/>
  <c r="BC55" i="93"/>
  <c r="BD54" i="93"/>
  <c r="BF53" i="93" l="1"/>
  <c r="BI53" i="93"/>
  <c r="BH53" i="93"/>
  <c r="BG53" i="93"/>
  <c r="BC56" i="93"/>
  <c r="BD55" i="93"/>
  <c r="BH54" i="93" l="1"/>
  <c r="BG54" i="93"/>
  <c r="BF54" i="93"/>
  <c r="BI54" i="93"/>
  <c r="BC57" i="93"/>
  <c r="BD56" i="93"/>
  <c r="BF55" i="93" l="1"/>
  <c r="BI55" i="93"/>
  <c r="BH55" i="93"/>
  <c r="BG55" i="93"/>
  <c r="BC58" i="93"/>
  <c r="BD57" i="93"/>
  <c r="BH56" i="93" l="1"/>
  <c r="BG56" i="93"/>
  <c r="BF56" i="93"/>
  <c r="BI56" i="93"/>
  <c r="BC59" i="93"/>
  <c r="BD58" i="93"/>
  <c r="BF57" i="93" l="1"/>
  <c r="BI57" i="93"/>
  <c r="BH57" i="93"/>
  <c r="BG57" i="93"/>
  <c r="BD59" i="93"/>
  <c r="BC60" i="93"/>
  <c r="BD60" i="93" l="1"/>
  <c r="BC61" i="93"/>
  <c r="BH58" i="93"/>
  <c r="BG58" i="93"/>
  <c r="BF58" i="93"/>
  <c r="BI58" i="93"/>
  <c r="BC62" i="93" l="1"/>
  <c r="BD61" i="93"/>
  <c r="BI59" i="93"/>
  <c r="BH59" i="93"/>
  <c r="BG59" i="93"/>
  <c r="BF59" i="93"/>
  <c r="BF60" i="93" l="1"/>
  <c r="BI60" i="93"/>
  <c r="BH60" i="93"/>
  <c r="BG60" i="93"/>
  <c r="BC63" i="93"/>
  <c r="BD63" i="93" s="1"/>
  <c r="BD62" i="93"/>
  <c r="BI62" i="93" l="1"/>
  <c r="BH62" i="93"/>
  <c r="BG62" i="93"/>
  <c r="BF62" i="93"/>
  <c r="BG61" i="93"/>
  <c r="BF61" i="93"/>
  <c r="BI61" i="93"/>
  <c r="BH61" i="93"/>
  <c r="CM31" i="7" l="1"/>
  <c r="CM21" i="7"/>
  <c r="CM11" i="7"/>
  <c r="CM7" i="7"/>
  <c r="BM11" i="7"/>
  <c r="BM7" i="7"/>
  <c r="X12" i="10" l="1"/>
  <c r="X11" i="10"/>
  <c r="X14" i="10" s="1"/>
  <c r="W14" i="9"/>
  <c r="X13" i="10" l="1"/>
  <c r="CJ62" i="5" l="1"/>
  <c r="CI62" i="5"/>
  <c r="CH62" i="5"/>
  <c r="CJ61" i="5"/>
  <c r="CJ63" i="5" s="1"/>
  <c r="CI61" i="5"/>
  <c r="CI63" i="5" s="1"/>
  <c r="CH61" i="5"/>
  <c r="CH63" i="5" s="1"/>
  <c r="CK57" i="5"/>
  <c r="CJ57" i="5"/>
  <c r="CI57" i="5"/>
  <c r="CH57" i="5"/>
  <c r="CK56" i="5"/>
  <c r="CK58" i="5" s="1"/>
  <c r="CJ56" i="5"/>
  <c r="CJ58" i="5" s="1"/>
  <c r="CI56" i="5"/>
  <c r="CI58" i="5" s="1"/>
  <c r="CH56" i="5"/>
  <c r="CH58" i="5" s="1"/>
  <c r="CK47" i="5"/>
  <c r="CJ47" i="5"/>
  <c r="CI47" i="5"/>
  <c r="CH47" i="5"/>
  <c r="CK46" i="5"/>
  <c r="CK52" i="5" s="1"/>
  <c r="CJ46" i="5"/>
  <c r="CJ52" i="5" s="1"/>
  <c r="CI46" i="5"/>
  <c r="CI52" i="5" s="1"/>
  <c r="CH46" i="5"/>
  <c r="CH52" i="5" s="1"/>
  <c r="CK45" i="5"/>
  <c r="CJ45" i="5"/>
  <c r="CI45" i="5"/>
  <c r="CH45" i="5"/>
  <c r="CK44" i="5"/>
  <c r="CK51" i="5" s="1"/>
  <c r="CJ44" i="5"/>
  <c r="CJ51" i="5" s="1"/>
  <c r="CJ53" i="5" s="1"/>
  <c r="CI44" i="5"/>
  <c r="CI51" i="5" s="1"/>
  <c r="CI53" i="5" s="1"/>
  <c r="CH44" i="5"/>
  <c r="CH51" i="5" s="1"/>
  <c r="CH53" i="5" s="1"/>
  <c r="CK43" i="5"/>
  <c r="CJ43" i="5"/>
  <c r="CI43" i="5"/>
  <c r="CH43" i="5"/>
  <c r="CK42" i="5"/>
  <c r="CK50" i="5" s="1"/>
  <c r="CJ42" i="5"/>
  <c r="CJ50" i="5" s="1"/>
  <c r="CI42" i="5"/>
  <c r="CI50" i="5" s="1"/>
  <c r="CH42" i="5"/>
  <c r="CH50" i="5" s="1"/>
  <c r="CK62" i="5" l="1"/>
  <c r="CK53" i="5"/>
  <c r="CK61" i="5"/>
  <c r="CK63" i="5" s="1"/>
  <c r="C68" i="91"/>
  <c r="B68" i="91" s="1"/>
  <c r="AH67" i="91"/>
  <c r="AG67" i="91"/>
  <c r="AF67" i="91"/>
  <c r="AH66" i="91"/>
  <c r="AG66" i="91"/>
  <c r="AF66" i="91"/>
  <c r="AH65" i="91"/>
  <c r="AG65" i="91"/>
  <c r="AF65" i="91"/>
  <c r="AH64" i="91"/>
  <c r="AG64" i="91"/>
  <c r="AF64" i="91"/>
  <c r="BI63" i="91"/>
  <c r="BH63" i="91"/>
  <c r="BG63" i="91"/>
  <c r="BF63" i="91"/>
  <c r="AV63" i="91"/>
  <c r="AH63" i="91"/>
  <c r="AG63" i="91"/>
  <c r="AF63" i="91"/>
  <c r="AV62" i="91"/>
  <c r="AH62" i="91"/>
  <c r="AG62" i="91"/>
  <c r="AF62" i="91"/>
  <c r="G62" i="91"/>
  <c r="AV61" i="91"/>
  <c r="AV60" i="91"/>
  <c r="AH60" i="91"/>
  <c r="AG60" i="91"/>
  <c r="AF60" i="91"/>
  <c r="AF61" i="91" s="1"/>
  <c r="G60" i="91"/>
  <c r="E60" i="91" s="1"/>
  <c r="AV59" i="91"/>
  <c r="AH59" i="91"/>
  <c r="AG59" i="91"/>
  <c r="AF59" i="91"/>
  <c r="G59" i="91"/>
  <c r="E59" i="91" s="1"/>
  <c r="AV58" i="91"/>
  <c r="AH58" i="91"/>
  <c r="AG58" i="91"/>
  <c r="AF58" i="91"/>
  <c r="G58" i="91"/>
  <c r="AV57" i="91"/>
  <c r="AH57" i="91"/>
  <c r="AG57" i="91"/>
  <c r="AF57" i="91"/>
  <c r="G57" i="91"/>
  <c r="AV56" i="91"/>
  <c r="AH56" i="91"/>
  <c r="AG56" i="91"/>
  <c r="AF56" i="91"/>
  <c r="G56" i="91"/>
  <c r="AV55" i="91"/>
  <c r="AH55" i="91"/>
  <c r="AG55" i="91"/>
  <c r="AF55" i="91"/>
  <c r="G55" i="91"/>
  <c r="AV54" i="91"/>
  <c r="AH54" i="91"/>
  <c r="AG54" i="91"/>
  <c r="AF54" i="91"/>
  <c r="G54" i="91"/>
  <c r="AV53" i="91"/>
  <c r="AH53" i="91"/>
  <c r="AG53" i="91"/>
  <c r="AF53" i="91"/>
  <c r="G53" i="91"/>
  <c r="AV52" i="91"/>
  <c r="AH52" i="91"/>
  <c r="AG52" i="91"/>
  <c r="AF52" i="91"/>
  <c r="AV51" i="91"/>
  <c r="AH51" i="91"/>
  <c r="AG51" i="91"/>
  <c r="AF51" i="91"/>
  <c r="AV50" i="91"/>
  <c r="AH50" i="91"/>
  <c r="AG50" i="91"/>
  <c r="AF50" i="91"/>
  <c r="AV49" i="91"/>
  <c r="AV48" i="91"/>
  <c r="AV47" i="91"/>
  <c r="AV46" i="91"/>
  <c r="AV45" i="91"/>
  <c r="AV44" i="91"/>
  <c r="AV43" i="91"/>
  <c r="AV42" i="91"/>
  <c r="AV41" i="91"/>
  <c r="AV40" i="91"/>
  <c r="AV39" i="91"/>
  <c r="AV38" i="91"/>
  <c r="AV37" i="91"/>
  <c r="AV36" i="91"/>
  <c r="AV35" i="91"/>
  <c r="AV34" i="91"/>
  <c r="AV33" i="91"/>
  <c r="AV32" i="91"/>
  <c r="AV31" i="91"/>
  <c r="AV30" i="91"/>
  <c r="AV29" i="91"/>
  <c r="AV28" i="91"/>
  <c r="AV27" i="91"/>
  <c r="AV26" i="91"/>
  <c r="AV25" i="91"/>
  <c r="AV24" i="91"/>
  <c r="AV23" i="91"/>
  <c r="AV22" i="91"/>
  <c r="AV21" i="91"/>
  <c r="AV20" i="91"/>
  <c r="AV19" i="91"/>
  <c r="AV18" i="91"/>
  <c r="AV17" i="91"/>
  <c r="AV16" i="91"/>
  <c r="L16" i="91" a="1"/>
  <c r="L16" i="91" s="1"/>
  <c r="AV15" i="91"/>
  <c r="AV14" i="91"/>
  <c r="AV13" i="91"/>
  <c r="L13" i="91"/>
  <c r="AV12" i="91"/>
  <c r="L12" i="91"/>
  <c r="AV11" i="91"/>
  <c r="L11" i="91"/>
  <c r="AV10" i="91"/>
  <c r="L10" i="91"/>
  <c r="AV9" i="91"/>
  <c r="L9" i="91"/>
  <c r="AV8" i="91"/>
  <c r="L8" i="91"/>
  <c r="BC7" i="91"/>
  <c r="AV7" i="91"/>
  <c r="AF7" i="91"/>
  <c r="AF8" i="91" s="1"/>
  <c r="AF9" i="91" s="1"/>
  <c r="AF10" i="91" s="1"/>
  <c r="AF11" i="91" s="1"/>
  <c r="AF12" i="91" s="1"/>
  <c r="AF13" i="91" s="1"/>
  <c r="AF14" i="91" s="1"/>
  <c r="AF15" i="91" s="1"/>
  <c r="AF16" i="91" s="1"/>
  <c r="AF17" i="91" s="1"/>
  <c r="AF18" i="91" s="1"/>
  <c r="AF19" i="91" s="1"/>
  <c r="AF20" i="91" s="1"/>
  <c r="AF21" i="91" s="1"/>
  <c r="AF22" i="91" s="1"/>
  <c r="AF23" i="91" s="1"/>
  <c r="AF24" i="91" s="1"/>
  <c r="AF25" i="91" s="1"/>
  <c r="AF26" i="91" s="1"/>
  <c r="AF27" i="91" s="1"/>
  <c r="AF28" i="91" s="1"/>
  <c r="AF29" i="91" s="1"/>
  <c r="AF30" i="91" s="1"/>
  <c r="AF31" i="91" s="1"/>
  <c r="AF32" i="91" s="1"/>
  <c r="AF33" i="91" s="1"/>
  <c r="AF34" i="91" s="1"/>
  <c r="AF35" i="91" s="1"/>
  <c r="AF36" i="91" s="1"/>
  <c r="AF37" i="91" s="1"/>
  <c r="AF38" i="91" s="1"/>
  <c r="AF39" i="91" s="1"/>
  <c r="AF40" i="91" s="1"/>
  <c r="AF41" i="91" s="1"/>
  <c r="AF42" i="91" s="1"/>
  <c r="AF43" i="91" s="1"/>
  <c r="AF44" i="91" s="1"/>
  <c r="AF45" i="91" s="1"/>
  <c r="AF46" i="91" s="1"/>
  <c r="AF47" i="91" s="1"/>
  <c r="AF48" i="91" s="1"/>
  <c r="AF49" i="91" s="1"/>
  <c r="AL4" i="91"/>
  <c r="AK4" i="91"/>
  <c r="AK2" i="91" s="1"/>
  <c r="AJ4" i="91"/>
  <c r="AJ2" i="91" s="1"/>
  <c r="G3" i="91"/>
  <c r="AL2" i="91"/>
  <c r="E2" i="91"/>
  <c r="E3" i="91" s="1"/>
  <c r="A1" i="91"/>
  <c r="G7" i="91"/>
  <c r="AJ7" i="91"/>
  <c r="AJ10" i="91"/>
  <c r="E6" i="91"/>
  <c r="AJ9" i="91"/>
  <c r="AW9" i="91" l="1"/>
  <c r="AX9" i="91" s="1"/>
  <c r="AW11" i="91"/>
  <c r="AX11" i="91" s="1"/>
  <c r="AW10" i="91"/>
  <c r="AW12" i="91"/>
  <c r="AX12" i="91" s="1"/>
  <c r="AW15" i="91"/>
  <c r="AX15" i="91" s="1"/>
  <c r="AW18" i="91"/>
  <c r="AX18" i="91" s="1"/>
  <c r="AW22" i="91"/>
  <c r="AW13" i="91"/>
  <c r="AX13" i="91" s="1"/>
  <c r="AW34" i="91"/>
  <c r="AX34" i="91" s="1"/>
  <c r="BC8" i="91"/>
  <c r="AX10" i="91"/>
  <c r="AW14" i="91"/>
  <c r="AX14" i="91" s="1"/>
  <c r="AW19" i="91"/>
  <c r="AX19" i="91" s="1"/>
  <c r="AX22" i="91"/>
  <c r="AW24" i="91"/>
  <c r="AX24" i="91" s="1"/>
  <c r="AW42" i="91"/>
  <c r="AX42" i="91" s="1"/>
  <c r="L14" i="91"/>
  <c r="M10" i="91" s="1"/>
  <c r="AW16" i="91"/>
  <c r="AX16" i="91" s="1"/>
  <c r="AW21" i="91"/>
  <c r="AX21" i="91" s="1"/>
  <c r="AW30" i="91"/>
  <c r="C77" i="91"/>
  <c r="AW7" i="91"/>
  <c r="AX7" i="91" s="1"/>
  <c r="AW8" i="91"/>
  <c r="AX8" i="91" s="1"/>
  <c r="AW20" i="91"/>
  <c r="AW23" i="91"/>
  <c r="AX23" i="91" s="1"/>
  <c r="AW25" i="91"/>
  <c r="AW62" i="91"/>
  <c r="AX62" i="91" s="1"/>
  <c r="AW59" i="91"/>
  <c r="AX59" i="91" s="1"/>
  <c r="AW51" i="91"/>
  <c r="AW60" i="91"/>
  <c r="AX60" i="91" s="1"/>
  <c r="AW57" i="91"/>
  <c r="AX57" i="91" s="1"/>
  <c r="AW55" i="91"/>
  <c r="AX55" i="91" s="1"/>
  <c r="AW53" i="91"/>
  <c r="AX53" i="91" s="1"/>
  <c r="AW50" i="91"/>
  <c r="AX50" i="91" s="1"/>
  <c r="AW43" i="91"/>
  <c r="AX43" i="91" s="1"/>
  <c r="AW40" i="91"/>
  <c r="AX40" i="91" s="1"/>
  <c r="AW36" i="91"/>
  <c r="AX36" i="91" s="1"/>
  <c r="AW32" i="91"/>
  <c r="AX32" i="91" s="1"/>
  <c r="AW28" i="91"/>
  <c r="AX28" i="91" s="1"/>
  <c r="AW39" i="91"/>
  <c r="AX39" i="91" s="1"/>
  <c r="AW35" i="91"/>
  <c r="AX35" i="91" s="1"/>
  <c r="AW31" i="91"/>
  <c r="AX31" i="91" s="1"/>
  <c r="AW17" i="91"/>
  <c r="AX17" i="91" s="1"/>
  <c r="AX20" i="91"/>
  <c r="AW26" i="91"/>
  <c r="AX26" i="91" s="1"/>
  <c r="AW38" i="91"/>
  <c r="AX38" i="91" s="1"/>
  <c r="AW45" i="91"/>
  <c r="AX45" i="91" s="1"/>
  <c r="AW49" i="91"/>
  <c r="AX49" i="91" s="1"/>
  <c r="AX51" i="91"/>
  <c r="AX25" i="91"/>
  <c r="AW27" i="91"/>
  <c r="AX27" i="91" s="1"/>
  <c r="AW29" i="91"/>
  <c r="AX29" i="91" s="1"/>
  <c r="AW33" i="91"/>
  <c r="AX33" i="91" s="1"/>
  <c r="AW37" i="91"/>
  <c r="AX37" i="91" s="1"/>
  <c r="AW41" i="91"/>
  <c r="AX41" i="91" s="1"/>
  <c r="AX30" i="91"/>
  <c r="AW44" i="91"/>
  <c r="AX44" i="91" s="1"/>
  <c r="AW47" i="91"/>
  <c r="AX47" i="91" s="1"/>
  <c r="AW61" i="91"/>
  <c r="AX61" i="91" s="1"/>
  <c r="AW48" i="91"/>
  <c r="AX48" i="91" s="1"/>
  <c r="AW46" i="91"/>
  <c r="AX46" i="91" s="1"/>
  <c r="AW52" i="91"/>
  <c r="AX52" i="91" s="1"/>
  <c r="AW54" i="91"/>
  <c r="AX54" i="91" s="1"/>
  <c r="AW56" i="91"/>
  <c r="AX56" i="91" s="1"/>
  <c r="AW58" i="91"/>
  <c r="AX58" i="91" s="1"/>
  <c r="AW63" i="91"/>
  <c r="AX63" i="91" s="1"/>
  <c r="C68" i="90"/>
  <c r="B68" i="90" s="1"/>
  <c r="AH67" i="90"/>
  <c r="AG67" i="90"/>
  <c r="AF67" i="90"/>
  <c r="AH66" i="90"/>
  <c r="AG66" i="90"/>
  <c r="AF66" i="90"/>
  <c r="AH65" i="90"/>
  <c r="AG65" i="90"/>
  <c r="AF65" i="90"/>
  <c r="AH64" i="90"/>
  <c r="AG64" i="90"/>
  <c r="AF64" i="90"/>
  <c r="BI63" i="90"/>
  <c r="BH63" i="90"/>
  <c r="BG63" i="90"/>
  <c r="BF63" i="90"/>
  <c r="AV63" i="90"/>
  <c r="AH63" i="90"/>
  <c r="AG63" i="90"/>
  <c r="AF63" i="90"/>
  <c r="AV62" i="90"/>
  <c r="AH62" i="90"/>
  <c r="AG62" i="90"/>
  <c r="AF62" i="90"/>
  <c r="G62" i="90"/>
  <c r="AV61" i="90"/>
  <c r="AV60" i="90"/>
  <c r="AH60" i="90"/>
  <c r="AG60" i="90"/>
  <c r="AF60" i="90"/>
  <c r="AF61" i="90" s="1"/>
  <c r="G60" i="90"/>
  <c r="E60" i="90" s="1"/>
  <c r="AV59" i="90"/>
  <c r="AH59" i="90"/>
  <c r="AG59" i="90"/>
  <c r="AF59" i="90"/>
  <c r="G59" i="90"/>
  <c r="E59" i="90" s="1"/>
  <c r="AV58" i="90"/>
  <c r="AH58" i="90"/>
  <c r="AG58" i="90"/>
  <c r="AF58" i="90"/>
  <c r="G58" i="90"/>
  <c r="AV57" i="90"/>
  <c r="AH57" i="90"/>
  <c r="AG57" i="90"/>
  <c r="AF57" i="90"/>
  <c r="G57" i="90"/>
  <c r="AV56" i="90"/>
  <c r="AH56" i="90"/>
  <c r="AG56" i="90"/>
  <c r="AF56" i="90"/>
  <c r="G56" i="90"/>
  <c r="AV55" i="90"/>
  <c r="AH55" i="90"/>
  <c r="AG55" i="90"/>
  <c r="AF55" i="90"/>
  <c r="G55" i="90"/>
  <c r="AV54" i="90"/>
  <c r="AH54" i="90"/>
  <c r="AG54" i="90"/>
  <c r="AF54" i="90"/>
  <c r="G54" i="90"/>
  <c r="AV53" i="90"/>
  <c r="AH53" i="90"/>
  <c r="AG53" i="90"/>
  <c r="AF53" i="90"/>
  <c r="G53" i="90"/>
  <c r="AV52" i="90"/>
  <c r="AH52" i="90"/>
  <c r="AG52" i="90"/>
  <c r="AF52" i="90"/>
  <c r="AV51" i="90"/>
  <c r="AH51" i="90"/>
  <c r="AG51" i="90"/>
  <c r="AF51" i="90"/>
  <c r="AV50" i="90"/>
  <c r="AH50" i="90"/>
  <c r="AG50" i="90"/>
  <c r="AF50" i="90"/>
  <c r="AV49" i="90"/>
  <c r="AV48" i="90"/>
  <c r="AV47" i="90"/>
  <c r="AV46" i="90"/>
  <c r="AV45" i="90"/>
  <c r="AV44" i="90"/>
  <c r="AV43" i="90"/>
  <c r="AV42" i="90"/>
  <c r="AV41" i="90"/>
  <c r="AV40" i="90"/>
  <c r="AV39" i="90"/>
  <c r="AV38" i="90"/>
  <c r="AV37" i="90"/>
  <c r="AV36" i="90"/>
  <c r="AV35" i="90"/>
  <c r="AV34" i="90"/>
  <c r="AV33" i="90"/>
  <c r="AV32" i="90"/>
  <c r="AV31" i="90"/>
  <c r="AV30" i="90"/>
  <c r="AV29" i="90"/>
  <c r="AV28" i="90"/>
  <c r="AV27" i="90"/>
  <c r="AV26" i="90"/>
  <c r="AV25" i="90"/>
  <c r="AV24" i="90"/>
  <c r="AV23" i="90"/>
  <c r="AV22" i="90"/>
  <c r="AV21" i="90"/>
  <c r="AV20" i="90"/>
  <c r="AV19" i="90"/>
  <c r="AV18" i="90"/>
  <c r="AV17" i="90"/>
  <c r="AV16" i="90"/>
  <c r="L16" i="90" a="1"/>
  <c r="L16" i="90" s="1"/>
  <c r="AV15" i="90"/>
  <c r="AV14" i="90"/>
  <c r="AV13" i="90"/>
  <c r="L13" i="90"/>
  <c r="AV12" i="90"/>
  <c r="L12" i="90"/>
  <c r="AV11" i="90"/>
  <c r="L11" i="90"/>
  <c r="AV10" i="90"/>
  <c r="L10" i="90"/>
  <c r="AV9" i="90"/>
  <c r="L9" i="90"/>
  <c r="AV8" i="90"/>
  <c r="L8" i="90"/>
  <c r="BC7" i="90"/>
  <c r="BC8" i="90" s="1"/>
  <c r="BC9" i="90" s="1"/>
  <c r="BC10" i="90" s="1"/>
  <c r="AV7" i="90"/>
  <c r="AF7" i="90"/>
  <c r="AF8" i="90" s="1"/>
  <c r="AF9" i="90" s="1"/>
  <c r="AF10" i="90" s="1"/>
  <c r="AF11" i="90" s="1"/>
  <c r="AF12" i="90" s="1"/>
  <c r="AF13" i="90" s="1"/>
  <c r="AF14" i="90" s="1"/>
  <c r="AF15" i="90" s="1"/>
  <c r="AF16" i="90" s="1"/>
  <c r="AF17" i="90" s="1"/>
  <c r="AF18" i="90" s="1"/>
  <c r="AF19" i="90" s="1"/>
  <c r="AF20" i="90" s="1"/>
  <c r="AF21" i="90" s="1"/>
  <c r="AF22" i="90" s="1"/>
  <c r="AF23" i="90" s="1"/>
  <c r="AF24" i="90" s="1"/>
  <c r="AF25" i="90" s="1"/>
  <c r="AF26" i="90" s="1"/>
  <c r="AF27" i="90" s="1"/>
  <c r="AF28" i="90" s="1"/>
  <c r="AF29" i="90" s="1"/>
  <c r="AF30" i="90" s="1"/>
  <c r="AF31" i="90" s="1"/>
  <c r="AF32" i="90" s="1"/>
  <c r="AF33" i="90" s="1"/>
  <c r="AF34" i="90" s="1"/>
  <c r="AF35" i="90" s="1"/>
  <c r="AF36" i="90" s="1"/>
  <c r="AF37" i="90" s="1"/>
  <c r="AF38" i="90" s="1"/>
  <c r="AF39" i="90" s="1"/>
  <c r="AF40" i="90" s="1"/>
  <c r="AF41" i="90" s="1"/>
  <c r="AF42" i="90" s="1"/>
  <c r="AF43" i="90" s="1"/>
  <c r="AF44" i="90" s="1"/>
  <c r="AF45" i="90" s="1"/>
  <c r="AF46" i="90" s="1"/>
  <c r="AF47" i="90" s="1"/>
  <c r="AF48" i="90" s="1"/>
  <c r="AF49" i="90" s="1"/>
  <c r="AL4" i="90"/>
  <c r="AL2" i="90" s="1"/>
  <c r="AK4" i="90"/>
  <c r="AK2" i="90" s="1"/>
  <c r="AJ4" i="90"/>
  <c r="AJ2" i="90" s="1"/>
  <c r="G3" i="90"/>
  <c r="E2" i="90"/>
  <c r="E3" i="90" s="1"/>
  <c r="A1" i="90"/>
  <c r="E6" i="90"/>
  <c r="G15" i="90"/>
  <c r="AJ37" i="91"/>
  <c r="G61" i="91"/>
  <c r="G30" i="91"/>
  <c r="G14" i="91"/>
  <c r="AJ33" i="91"/>
  <c r="AJ63" i="91"/>
  <c r="AJ32" i="91"/>
  <c r="AJ41" i="91"/>
  <c r="AJ48" i="91"/>
  <c r="AJ47" i="91"/>
  <c r="AJ30" i="91"/>
  <c r="AL9" i="91"/>
  <c r="G42" i="91"/>
  <c r="G16" i="91"/>
  <c r="G35" i="91"/>
  <c r="G33" i="91"/>
  <c r="G22" i="91"/>
  <c r="AJ26" i="91"/>
  <c r="AJ45" i="91"/>
  <c r="AJ40" i="91"/>
  <c r="AJ15" i="91"/>
  <c r="AJ53" i="91"/>
  <c r="AJ19" i="91"/>
  <c r="G44" i="91"/>
  <c r="G34" i="91"/>
  <c r="G13" i="91"/>
  <c r="AJ36" i="91"/>
  <c r="AJ24" i="91"/>
  <c r="AJ35" i="91"/>
  <c r="AJ66" i="91"/>
  <c r="G36" i="91"/>
  <c r="G23" i="91"/>
  <c r="AJ21" i="91"/>
  <c r="AJ43" i="91"/>
  <c r="AJ39" i="91"/>
  <c r="AL10" i="91"/>
  <c r="G9" i="91"/>
  <c r="AJ8" i="91"/>
  <c r="G43" i="91"/>
  <c r="G41" i="91"/>
  <c r="G20" i="91"/>
  <c r="AJ60" i="91"/>
  <c r="AJ52" i="91"/>
  <c r="AJ27" i="91"/>
  <c r="G18" i="91"/>
  <c r="AJ49" i="91"/>
  <c r="AJ31" i="91"/>
  <c r="AJ20" i="91"/>
  <c r="G49" i="91"/>
  <c r="G27" i="91"/>
  <c r="G25" i="91"/>
  <c r="AK9" i="91"/>
  <c r="G32" i="91"/>
  <c r="G8" i="91"/>
  <c r="AJ29" i="91"/>
  <c r="AJ11" i="91"/>
  <c r="AJ56" i="91"/>
  <c r="AJ23" i="91"/>
  <c r="AJ12" i="91"/>
  <c r="AJ64" i="91"/>
  <c r="AJ17" i="91"/>
  <c r="G47" i="91"/>
  <c r="G19" i="91"/>
  <c r="AJ67" i="91"/>
  <c r="AJ38" i="91"/>
  <c r="AJ42" i="91"/>
  <c r="AJ14" i="91"/>
  <c r="AL7" i="91"/>
  <c r="G29" i="91"/>
  <c r="AJ65" i="91"/>
  <c r="G46" i="91"/>
  <c r="AJ61" i="91"/>
  <c r="AJ57" i="91"/>
  <c r="AJ46" i="91"/>
  <c r="G11" i="91"/>
  <c r="G45" i="91"/>
  <c r="AJ16" i="91"/>
  <c r="AJ44" i="91"/>
  <c r="G21" i="91"/>
  <c r="G28" i="91"/>
  <c r="AK7" i="91"/>
  <c r="G40" i="91"/>
  <c r="G26" i="91"/>
  <c r="AJ13" i="91"/>
  <c r="AJ50" i="91"/>
  <c r="AJ51" i="91"/>
  <c r="AJ34" i="91"/>
  <c r="G24" i="91"/>
  <c r="AJ58" i="91"/>
  <c r="AJ28" i="91"/>
  <c r="G39" i="91"/>
  <c r="G37" i="91"/>
  <c r="AJ18" i="91"/>
  <c r="G48" i="91"/>
  <c r="G38" i="91"/>
  <c r="G12" i="91"/>
  <c r="G15" i="91"/>
  <c r="AJ55" i="91"/>
  <c r="AJ62" i="91"/>
  <c r="AJ54" i="91"/>
  <c r="G31" i="91"/>
  <c r="AJ22" i="91"/>
  <c r="AK10" i="91"/>
  <c r="G10" i="91"/>
  <c r="AJ25" i="91"/>
  <c r="E7" i="91"/>
  <c r="G17" i="91"/>
  <c r="AJ59" i="91"/>
  <c r="AY29" i="91" l="1"/>
  <c r="AY48" i="91"/>
  <c r="M8" i="91"/>
  <c r="M11" i="91"/>
  <c r="M12" i="91"/>
  <c r="AL59" i="91"/>
  <c r="AK59" i="91"/>
  <c r="AM59" i="91" s="1"/>
  <c r="AL65" i="91"/>
  <c r="AK65" i="91"/>
  <c r="AM65" i="91" s="1"/>
  <c r="AL67" i="91"/>
  <c r="AK67" i="91"/>
  <c r="AM67" i="91" s="1"/>
  <c r="AH10" i="91"/>
  <c r="AG10" i="91"/>
  <c r="AH7" i="91"/>
  <c r="AG7" i="91"/>
  <c r="AL54" i="91"/>
  <c r="AK54" i="91"/>
  <c r="AM54" i="91" s="1"/>
  <c r="AK64" i="91"/>
  <c r="AM64" i="91" s="1"/>
  <c r="AL64" i="91"/>
  <c r="AL53" i="91"/>
  <c r="AK53" i="91"/>
  <c r="AM53" i="91" s="1"/>
  <c r="AL62" i="91"/>
  <c r="AK62" i="91"/>
  <c r="AM62" i="91" s="1"/>
  <c r="AL56" i="91"/>
  <c r="AK56" i="91"/>
  <c r="AM56" i="91" s="1"/>
  <c r="AL55" i="91"/>
  <c r="AK55" i="91"/>
  <c r="AM55" i="91" s="1"/>
  <c r="AM9" i="91"/>
  <c r="AH9" i="91"/>
  <c r="AG9" i="91"/>
  <c r="AL66" i="91"/>
  <c r="AK66" i="91"/>
  <c r="AM66" i="91" s="1"/>
  <c r="AL58" i="91"/>
  <c r="AK58" i="91"/>
  <c r="AM58" i="91" s="1"/>
  <c r="AL57" i="91"/>
  <c r="AK57" i="91"/>
  <c r="AM57" i="91" s="1"/>
  <c r="AL51" i="91"/>
  <c r="AK51" i="91"/>
  <c r="AM51" i="91" s="1"/>
  <c r="AL52" i="91"/>
  <c r="AK52" i="91"/>
  <c r="AM52" i="91" s="1"/>
  <c r="AL63" i="91"/>
  <c r="AK63" i="91"/>
  <c r="AM63" i="91" s="1"/>
  <c r="AL50" i="91"/>
  <c r="AK50" i="91"/>
  <c r="AM50" i="91" s="1"/>
  <c r="AL60" i="91"/>
  <c r="AK60" i="91"/>
  <c r="AM60" i="91" s="1"/>
  <c r="AM10" i="91"/>
  <c r="AM7" i="91"/>
  <c r="AY52" i="91"/>
  <c r="AY41" i="91"/>
  <c r="AY45" i="91"/>
  <c r="AY62" i="91"/>
  <c r="AY14" i="91"/>
  <c r="AY58" i="91"/>
  <c r="AY46" i="91"/>
  <c r="AY37" i="91"/>
  <c r="AY21" i="91"/>
  <c r="AY24" i="91"/>
  <c r="AY63" i="91"/>
  <c r="AY61" i="91"/>
  <c r="AY27" i="91"/>
  <c r="AY17" i="91"/>
  <c r="AY8" i="91"/>
  <c r="AY56" i="91"/>
  <c r="AY33" i="91"/>
  <c r="AY26" i="91"/>
  <c r="AY7" i="91"/>
  <c r="AY15" i="91"/>
  <c r="AY12" i="91"/>
  <c r="AY13" i="91"/>
  <c r="AY18" i="91"/>
  <c r="AY16" i="91"/>
  <c r="AY30" i="91"/>
  <c r="AY51" i="91"/>
  <c r="AY43" i="91"/>
  <c r="AY42" i="91"/>
  <c r="AY19" i="91"/>
  <c r="AY10" i="91"/>
  <c r="AY44" i="91"/>
  <c r="AY59" i="91"/>
  <c r="AY54" i="91"/>
  <c r="AY38" i="91"/>
  <c r="AY28" i="91"/>
  <c r="AY57" i="91"/>
  <c r="AY22" i="91"/>
  <c r="AY47" i="91"/>
  <c r="AY34" i="91"/>
  <c r="AY25" i="91"/>
  <c r="AY20" i="91"/>
  <c r="AY31" i="91"/>
  <c r="AY32" i="91"/>
  <c r="AY50" i="91"/>
  <c r="AY60" i="91"/>
  <c r="AY9" i="91"/>
  <c r="M9" i="91"/>
  <c r="L5" i="91"/>
  <c r="M14" i="91"/>
  <c r="BC9" i="91"/>
  <c r="Y14" i="91"/>
  <c r="AY35" i="91"/>
  <c r="AY36" i="91"/>
  <c r="AY53" i="91"/>
  <c r="AY49" i="91"/>
  <c r="AY39" i="91"/>
  <c r="AY40" i="91"/>
  <c r="AY55" i="91"/>
  <c r="AY23" i="91"/>
  <c r="AY11" i="91"/>
  <c r="M13" i="91"/>
  <c r="AW9" i="90"/>
  <c r="AX9" i="90" s="1"/>
  <c r="AW8" i="90"/>
  <c r="BC11" i="90"/>
  <c r="AX8" i="90"/>
  <c r="AW59" i="90"/>
  <c r="AW52" i="90"/>
  <c r="AW50" i="90"/>
  <c r="AX50" i="90" s="1"/>
  <c r="AW48" i="90"/>
  <c r="AX48" i="90" s="1"/>
  <c r="AW62" i="90"/>
  <c r="AW53" i="90"/>
  <c r="AX53" i="90" s="1"/>
  <c r="AW46" i="90"/>
  <c r="AX46" i="90" s="1"/>
  <c r="AW38" i="90"/>
  <c r="AX38" i="90" s="1"/>
  <c r="AW55" i="90"/>
  <c r="AX55" i="90" s="1"/>
  <c r="AW44" i="90"/>
  <c r="AX44" i="90" s="1"/>
  <c r="AW60" i="90"/>
  <c r="AX60" i="90" s="1"/>
  <c r="AW47" i="90"/>
  <c r="AX47" i="90" s="1"/>
  <c r="AW41" i="90"/>
  <c r="AX41" i="90" s="1"/>
  <c r="AW37" i="90"/>
  <c r="AX37" i="90" s="1"/>
  <c r="AW57" i="90"/>
  <c r="AX57" i="90" s="1"/>
  <c r="AW34" i="90"/>
  <c r="AX34" i="90" s="1"/>
  <c r="AW14" i="90"/>
  <c r="AW30" i="90"/>
  <c r="AX30" i="90" s="1"/>
  <c r="AW26" i="90"/>
  <c r="AX26" i="90" s="1"/>
  <c r="AW19" i="90"/>
  <c r="AX19" i="90" s="1"/>
  <c r="AW10" i="90"/>
  <c r="AX10" i="90" s="1"/>
  <c r="AW12" i="90"/>
  <c r="AX12" i="90" s="1"/>
  <c r="L14" i="90"/>
  <c r="Y14" i="90" s="1"/>
  <c r="AX14" i="90"/>
  <c r="AW7" i="90"/>
  <c r="AW11" i="90"/>
  <c r="AX11" i="90" s="1"/>
  <c r="AW15" i="90"/>
  <c r="AX15" i="90" s="1"/>
  <c r="AW16" i="90"/>
  <c r="AX16" i="90" s="1"/>
  <c r="AW20" i="90"/>
  <c r="AX20" i="90" s="1"/>
  <c r="AX7" i="90"/>
  <c r="AW13" i="90"/>
  <c r="AX13" i="90" s="1"/>
  <c r="AW23" i="90"/>
  <c r="AX23" i="90" s="1"/>
  <c r="AW24" i="90"/>
  <c r="AX24" i="90" s="1"/>
  <c r="AW27" i="90"/>
  <c r="AX27" i="90" s="1"/>
  <c r="AW18" i="90"/>
  <c r="AX18" i="90" s="1"/>
  <c r="AW22" i="90"/>
  <c r="AX22" i="90" s="1"/>
  <c r="AW33" i="90"/>
  <c r="AX33" i="90" s="1"/>
  <c r="AW17" i="90"/>
  <c r="AX17" i="90" s="1"/>
  <c r="AW21" i="90"/>
  <c r="AX21" i="90" s="1"/>
  <c r="AW25" i="90"/>
  <c r="AX25" i="90" s="1"/>
  <c r="AW31" i="90"/>
  <c r="AX31" i="90" s="1"/>
  <c r="AW51" i="90"/>
  <c r="AX51" i="90" s="1"/>
  <c r="AW29" i="90"/>
  <c r="AX29" i="90" s="1"/>
  <c r="AW39" i="90"/>
  <c r="AX39" i="90" s="1"/>
  <c r="AW43" i="90"/>
  <c r="AX43" i="90" s="1"/>
  <c r="AW56" i="90"/>
  <c r="AX56" i="90" s="1"/>
  <c r="AW28" i="90"/>
  <c r="AX28" i="90" s="1"/>
  <c r="AW32" i="90"/>
  <c r="AX32" i="90" s="1"/>
  <c r="AW35" i="90"/>
  <c r="AX35" i="90" s="1"/>
  <c r="AW42" i="90"/>
  <c r="AX42" i="90" s="1"/>
  <c r="AW36" i="90"/>
  <c r="AX36" i="90" s="1"/>
  <c r="AW40" i="90"/>
  <c r="AX40" i="90" s="1"/>
  <c r="AW63" i="90"/>
  <c r="AX63" i="90" s="1"/>
  <c r="AW49" i="90"/>
  <c r="AX49" i="90" s="1"/>
  <c r="AW54" i="90"/>
  <c r="AX54" i="90" s="1"/>
  <c r="AX62" i="90"/>
  <c r="AX52" i="90"/>
  <c r="AX59" i="90"/>
  <c r="AW61" i="90"/>
  <c r="AX61" i="90" s="1"/>
  <c r="AW45" i="90"/>
  <c r="AX45" i="90" s="1"/>
  <c r="AW58" i="90"/>
  <c r="AX58" i="90" s="1"/>
  <c r="C68" i="89"/>
  <c r="B68" i="89" s="1"/>
  <c r="AH67" i="89"/>
  <c r="AG67" i="89"/>
  <c r="AF67" i="89"/>
  <c r="AH66" i="89"/>
  <c r="AG66" i="89"/>
  <c r="AF66" i="89"/>
  <c r="AH65" i="89"/>
  <c r="AG65" i="89"/>
  <c r="AF65" i="89"/>
  <c r="AH64" i="89"/>
  <c r="AG64" i="89"/>
  <c r="AF64" i="89"/>
  <c r="BI63" i="89"/>
  <c r="BH63" i="89"/>
  <c r="BG63" i="89"/>
  <c r="BF63" i="89"/>
  <c r="AV63" i="89"/>
  <c r="AH63" i="89"/>
  <c r="AG63" i="89"/>
  <c r="AF63" i="89"/>
  <c r="AV62" i="89"/>
  <c r="AH62" i="89"/>
  <c r="AG62" i="89"/>
  <c r="AF62" i="89"/>
  <c r="G62" i="89"/>
  <c r="AV61" i="89"/>
  <c r="AV60" i="89"/>
  <c r="AH60" i="89"/>
  <c r="AG60" i="89"/>
  <c r="AF60" i="89"/>
  <c r="AF61" i="89" s="1"/>
  <c r="G60" i="89"/>
  <c r="E60" i="89" s="1"/>
  <c r="AV59" i="89"/>
  <c r="AH59" i="89"/>
  <c r="AG59" i="89"/>
  <c r="AF59" i="89"/>
  <c r="G59" i="89"/>
  <c r="E59" i="89" s="1"/>
  <c r="AV58" i="89"/>
  <c r="AH58" i="89"/>
  <c r="AG58" i="89"/>
  <c r="AF58" i="89"/>
  <c r="G58" i="89"/>
  <c r="AV57" i="89"/>
  <c r="AH57" i="89"/>
  <c r="AG57" i="89"/>
  <c r="AF57" i="89"/>
  <c r="G57" i="89"/>
  <c r="AV56" i="89"/>
  <c r="AH56" i="89"/>
  <c r="AG56" i="89"/>
  <c r="AF56" i="89"/>
  <c r="G56" i="89"/>
  <c r="AV55" i="89"/>
  <c r="AH55" i="89"/>
  <c r="AG55" i="89"/>
  <c r="AF55" i="89"/>
  <c r="G55" i="89"/>
  <c r="AV54" i="89"/>
  <c r="AH54" i="89"/>
  <c r="AG54" i="89"/>
  <c r="AF54" i="89"/>
  <c r="G54" i="89"/>
  <c r="AV53" i="89"/>
  <c r="AH53" i="89"/>
  <c r="AG53" i="89"/>
  <c r="AF53" i="89"/>
  <c r="G53" i="89"/>
  <c r="AV52" i="89"/>
  <c r="AH52" i="89"/>
  <c r="AG52" i="89"/>
  <c r="AF52" i="89"/>
  <c r="AV51" i="89"/>
  <c r="AH51" i="89"/>
  <c r="AG51" i="89"/>
  <c r="AF51" i="89"/>
  <c r="AV50" i="89"/>
  <c r="AH50" i="89"/>
  <c r="AG50" i="89"/>
  <c r="AF50" i="89"/>
  <c r="AV49" i="89"/>
  <c r="AV48" i="89"/>
  <c r="AV47" i="89"/>
  <c r="AV46" i="89"/>
  <c r="AV45" i="89"/>
  <c r="AV44" i="89"/>
  <c r="AV43" i="89"/>
  <c r="AV42" i="89"/>
  <c r="AV41" i="89"/>
  <c r="AV40" i="89"/>
  <c r="AV39" i="89"/>
  <c r="AV38" i="89"/>
  <c r="AV37" i="89"/>
  <c r="AV36" i="89"/>
  <c r="AV35" i="89"/>
  <c r="AV34" i="89"/>
  <c r="AV33" i="89"/>
  <c r="AV32" i="89"/>
  <c r="AV31" i="89"/>
  <c r="AV30" i="89"/>
  <c r="AV29" i="89"/>
  <c r="AV28" i="89"/>
  <c r="AV27" i="89"/>
  <c r="AV26" i="89"/>
  <c r="AV25" i="89"/>
  <c r="AV24" i="89"/>
  <c r="AV23" i="89"/>
  <c r="AV22" i="89"/>
  <c r="AV21" i="89"/>
  <c r="AV20" i="89"/>
  <c r="AV19" i="89"/>
  <c r="AV18" i="89"/>
  <c r="AV17" i="89"/>
  <c r="AV16" i="89"/>
  <c r="L16" i="89" a="1"/>
  <c r="L16" i="89" s="1"/>
  <c r="AV15" i="89"/>
  <c r="AV14" i="89"/>
  <c r="AV13" i="89"/>
  <c r="L13" i="89"/>
  <c r="AV12" i="89"/>
  <c r="L12" i="89"/>
  <c r="AV11" i="89"/>
  <c r="L11" i="89"/>
  <c r="AV10" i="89"/>
  <c r="L10" i="89"/>
  <c r="AV9" i="89"/>
  <c r="L9" i="89"/>
  <c r="AV8" i="89"/>
  <c r="L8" i="89"/>
  <c r="BC7" i="89"/>
  <c r="BC8" i="89" s="1"/>
  <c r="AV7" i="89"/>
  <c r="AF7" i="89"/>
  <c r="AF8" i="89" s="1"/>
  <c r="AF9" i="89" s="1"/>
  <c r="AF10" i="89" s="1"/>
  <c r="AF11" i="89" s="1"/>
  <c r="AF12" i="89" s="1"/>
  <c r="AF13" i="89" s="1"/>
  <c r="AF14" i="89" s="1"/>
  <c r="AF15" i="89" s="1"/>
  <c r="AF16" i="89" s="1"/>
  <c r="AF17" i="89" s="1"/>
  <c r="AF18" i="89" s="1"/>
  <c r="AF19" i="89" s="1"/>
  <c r="AF20" i="89" s="1"/>
  <c r="AF21" i="89" s="1"/>
  <c r="AF22" i="89" s="1"/>
  <c r="AF23" i="89" s="1"/>
  <c r="AF24" i="89" s="1"/>
  <c r="AF25" i="89" s="1"/>
  <c r="AF26" i="89" s="1"/>
  <c r="AF27" i="89" s="1"/>
  <c r="AF28" i="89" s="1"/>
  <c r="AF29" i="89" s="1"/>
  <c r="AF30" i="89" s="1"/>
  <c r="AF31" i="89" s="1"/>
  <c r="AF32" i="89" s="1"/>
  <c r="AF33" i="89" s="1"/>
  <c r="AF34" i="89" s="1"/>
  <c r="AF35" i="89" s="1"/>
  <c r="AF36" i="89" s="1"/>
  <c r="AF37" i="89" s="1"/>
  <c r="AF38" i="89" s="1"/>
  <c r="AF39" i="89" s="1"/>
  <c r="AF40" i="89" s="1"/>
  <c r="AF41" i="89" s="1"/>
  <c r="AF42" i="89" s="1"/>
  <c r="AF43" i="89" s="1"/>
  <c r="AF44" i="89" s="1"/>
  <c r="AF45" i="89" s="1"/>
  <c r="AF46" i="89" s="1"/>
  <c r="AF47" i="89" s="1"/>
  <c r="AF48" i="89" s="1"/>
  <c r="AF49" i="89" s="1"/>
  <c r="AL4" i="89"/>
  <c r="AK4" i="89"/>
  <c r="AK2" i="89" s="1"/>
  <c r="AJ4" i="89"/>
  <c r="AJ2" i="89" s="1"/>
  <c r="G3" i="89"/>
  <c r="AL2" i="89"/>
  <c r="E2" i="89"/>
  <c r="E3" i="89" s="1"/>
  <c r="A1" i="89"/>
  <c r="E6" i="89"/>
  <c r="AJ8" i="89"/>
  <c r="E15" i="90"/>
  <c r="AJ60" i="90"/>
  <c r="AJ50" i="90"/>
  <c r="AJ61" i="90"/>
  <c r="AJ52" i="90"/>
  <c r="AJ46" i="90"/>
  <c r="AJ58" i="90"/>
  <c r="AJ39" i="90"/>
  <c r="AJ26" i="90"/>
  <c r="AJ32" i="90"/>
  <c r="AJ19" i="90"/>
  <c r="AJ20" i="90"/>
  <c r="AJ23" i="90"/>
  <c r="AJ33" i="90"/>
  <c r="AJ10" i="90"/>
  <c r="G48" i="90"/>
  <c r="G46" i="90"/>
  <c r="G45" i="90"/>
  <c r="G30" i="90"/>
  <c r="G31" i="90"/>
  <c r="G32" i="90"/>
  <c r="G23" i="90"/>
  <c r="G13" i="90"/>
  <c r="G9" i="90"/>
  <c r="G25" i="90"/>
  <c r="G22" i="90"/>
  <c r="G44" i="90"/>
  <c r="G42" i="90"/>
  <c r="G26" i="90"/>
  <c r="G27" i="90"/>
  <c r="G28" i="90"/>
  <c r="G12" i="90"/>
  <c r="G8" i="90"/>
  <c r="G21" i="90"/>
  <c r="AJ8" i="90"/>
  <c r="G49" i="90"/>
  <c r="G34" i="90"/>
  <c r="G39" i="90"/>
  <c r="G10" i="90"/>
  <c r="G24" i="90"/>
  <c r="AJ57" i="90"/>
  <c r="AJ48" i="90"/>
  <c r="AJ65" i="90"/>
  <c r="AJ63" i="90"/>
  <c r="AJ43" i="90"/>
  <c r="AJ51" i="90"/>
  <c r="AJ35" i="90"/>
  <c r="AJ31" i="90"/>
  <c r="AJ28" i="90"/>
  <c r="AJ36" i="90"/>
  <c r="AJ16" i="90"/>
  <c r="AJ21" i="90"/>
  <c r="AJ22" i="90"/>
  <c r="AJ9" i="90"/>
  <c r="G41" i="90"/>
  <c r="G20" i="90"/>
  <c r="G18" i="90"/>
  <c r="G47" i="90"/>
  <c r="G14" i="90"/>
  <c r="AJ55" i="90"/>
  <c r="AJ44" i="90"/>
  <c r="AJ62" i="90"/>
  <c r="AJ56" i="90"/>
  <c r="AJ41" i="90"/>
  <c r="AJ38" i="90"/>
  <c r="AJ34" i="90"/>
  <c r="AJ27" i="90"/>
  <c r="AJ40" i="90"/>
  <c r="AJ29" i="90"/>
  <c r="AJ59" i="90"/>
  <c r="AJ17" i="90"/>
  <c r="AJ18" i="90"/>
  <c r="AJ15" i="90"/>
  <c r="AJ11" i="90"/>
  <c r="G61" i="90"/>
  <c r="G37" i="90"/>
  <c r="G38" i="90"/>
  <c r="G40" i="90"/>
  <c r="G43" i="90"/>
  <c r="G33" i="90"/>
  <c r="G16" i="90"/>
  <c r="G11" i="90"/>
  <c r="G35" i="90"/>
  <c r="G17" i="90"/>
  <c r="G7" i="90"/>
  <c r="AJ67" i="90"/>
  <c r="AJ53" i="90"/>
  <c r="AJ64" i="90"/>
  <c r="AJ54" i="90"/>
  <c r="AJ49" i="90"/>
  <c r="AJ37" i="90"/>
  <c r="AJ66" i="90"/>
  <c r="AJ30" i="90"/>
  <c r="AJ47" i="90"/>
  <c r="AJ25" i="90"/>
  <c r="AJ24" i="90"/>
  <c r="AJ42" i="90"/>
  <c r="AJ45" i="90"/>
  <c r="AJ14" i="90"/>
  <c r="AJ13" i="90"/>
  <c r="AJ7" i="90"/>
  <c r="G36" i="90"/>
  <c r="G19" i="90"/>
  <c r="G29" i="90"/>
  <c r="AJ12" i="90"/>
  <c r="AK8" i="91"/>
  <c r="E34" i="91"/>
  <c r="E17" i="91"/>
  <c r="AK11" i="91"/>
  <c r="E32" i="91"/>
  <c r="AL20" i="91"/>
  <c r="AK41" i="91"/>
  <c r="AL13" i="91"/>
  <c r="AK48" i="91"/>
  <c r="AL19" i="91"/>
  <c r="AK44" i="91"/>
  <c r="AK31" i="91"/>
  <c r="AL33" i="91"/>
  <c r="E9" i="91"/>
  <c r="E21" i="91"/>
  <c r="AK45" i="91"/>
  <c r="E33" i="91"/>
  <c r="E49" i="91"/>
  <c r="AL48" i="91"/>
  <c r="AK35" i="91"/>
  <c r="E41" i="91"/>
  <c r="AK47" i="91"/>
  <c r="E30" i="91"/>
  <c r="AL11" i="91"/>
  <c r="E29" i="91"/>
  <c r="AL14" i="91"/>
  <c r="AL45" i="91"/>
  <c r="E23" i="91"/>
  <c r="AL24" i="91"/>
  <c r="AK20" i="91"/>
  <c r="E46" i="91"/>
  <c r="AL8" i="91"/>
  <c r="AL22" i="91"/>
  <c r="E44" i="91"/>
  <c r="AK23" i="91"/>
  <c r="AK21" i="91"/>
  <c r="AK18" i="91"/>
  <c r="AK46" i="91"/>
  <c r="AK34" i="91"/>
  <c r="E26" i="91"/>
  <c r="AL27" i="91"/>
  <c r="AK14" i="91"/>
  <c r="AL21" i="91"/>
  <c r="AK49" i="91"/>
  <c r="E10" i="91"/>
  <c r="E28" i="91"/>
  <c r="AL12" i="91"/>
  <c r="AL26" i="91"/>
  <c r="E35" i="91"/>
  <c r="AL30" i="91"/>
  <c r="E24" i="91"/>
  <c r="AK61" i="91"/>
  <c r="E43" i="91"/>
  <c r="E18" i="91"/>
  <c r="E61" i="91"/>
  <c r="AK29" i="91"/>
  <c r="E31" i="91"/>
  <c r="AK15" i="91"/>
  <c r="AK26" i="91"/>
  <c r="E45" i="91"/>
  <c r="E48" i="91"/>
  <c r="AL46" i="91"/>
  <c r="AK38" i="91"/>
  <c r="AL37" i="91"/>
  <c r="AK36" i="91"/>
  <c r="AK19" i="91"/>
  <c r="AL43" i="91"/>
  <c r="E22" i="91"/>
  <c r="E37" i="91"/>
  <c r="AL31" i="91"/>
  <c r="AL32" i="91"/>
  <c r="E40" i="91"/>
  <c r="E14" i="91"/>
  <c r="AL15" i="91"/>
  <c r="E12" i="91"/>
  <c r="AL34" i="91"/>
  <c r="AK22" i="91"/>
  <c r="AL17" i="91"/>
  <c r="AL42" i="91"/>
  <c r="E15" i="91"/>
  <c r="E25" i="91"/>
  <c r="AK28" i="91"/>
  <c r="AL25" i="91"/>
  <c r="AK24" i="91"/>
  <c r="E16" i="91"/>
  <c r="AL35" i="91"/>
  <c r="E19" i="91"/>
  <c r="E38" i="91"/>
  <c r="AK17" i="91"/>
  <c r="AK42" i="91"/>
  <c r="AL29" i="91"/>
  <c r="AL28" i="91"/>
  <c r="AL18" i="91"/>
  <c r="AL41" i="91"/>
  <c r="AK37" i="91"/>
  <c r="E13" i="91"/>
  <c r="AK12" i="91"/>
  <c r="AL44" i="91"/>
  <c r="E8" i="91"/>
  <c r="E39" i="91"/>
  <c r="AL49" i="91"/>
  <c r="AK33" i="91"/>
  <c r="E42" i="91"/>
  <c r="E47" i="91"/>
  <c r="AK43" i="91"/>
  <c r="E11" i="91"/>
  <c r="AK32" i="91"/>
  <c r="AL36" i="91"/>
  <c r="AK39" i="91"/>
  <c r="AK40" i="91"/>
  <c r="AL16" i="91"/>
  <c r="E27" i="91"/>
  <c r="AL47" i="91"/>
  <c r="AK27" i="91"/>
  <c r="E20" i="91"/>
  <c r="AK30" i="91"/>
  <c r="AL61" i="91"/>
  <c r="AL23" i="91"/>
  <c r="AL39" i="91"/>
  <c r="E36" i="91"/>
  <c r="AL40" i="91"/>
  <c r="AK13" i="91"/>
  <c r="AK16" i="91"/>
  <c r="AL38" i="91"/>
  <c r="AK25" i="91"/>
  <c r="AM37" i="91" l="1"/>
  <c r="AG37" i="91"/>
  <c r="AH37" i="91"/>
  <c r="AG8" i="91"/>
  <c r="AH8" i="91"/>
  <c r="AM8" i="91"/>
  <c r="AM38" i="91"/>
  <c r="AM13" i="91"/>
  <c r="AG41" i="91"/>
  <c r="AH41" i="91"/>
  <c r="AG46" i="91"/>
  <c r="AH46" i="91"/>
  <c r="AM20" i="91"/>
  <c r="AH18" i="91"/>
  <c r="AG18" i="91"/>
  <c r="AG24" i="91"/>
  <c r="AH24" i="91"/>
  <c r="AM25" i="91"/>
  <c r="AH28" i="91"/>
  <c r="AG28" i="91"/>
  <c r="AM16" i="91"/>
  <c r="AG29" i="91"/>
  <c r="AH29" i="91"/>
  <c r="AM26" i="91"/>
  <c r="AG45" i="91"/>
  <c r="AH45" i="91"/>
  <c r="AH40" i="91"/>
  <c r="AG40" i="91"/>
  <c r="AM42" i="91"/>
  <c r="AM15" i="91"/>
  <c r="AH14" i="91"/>
  <c r="AG14" i="91"/>
  <c r="AH39" i="91"/>
  <c r="AG39" i="91"/>
  <c r="AM17" i="91"/>
  <c r="AH38" i="91"/>
  <c r="AG38" i="91"/>
  <c r="AM29" i="91"/>
  <c r="AH11" i="91"/>
  <c r="AG11" i="91"/>
  <c r="AH23" i="91"/>
  <c r="AG23" i="91"/>
  <c r="AH61" i="91"/>
  <c r="AG61" i="91"/>
  <c r="AH35" i="91"/>
  <c r="AG35" i="91"/>
  <c r="AM47" i="91"/>
  <c r="AM30" i="91"/>
  <c r="AM24" i="91"/>
  <c r="AM61" i="91"/>
  <c r="AM35" i="91"/>
  <c r="AM27" i="91"/>
  <c r="AG25" i="91"/>
  <c r="AH25" i="91"/>
  <c r="AH48" i="91"/>
  <c r="AG48" i="91"/>
  <c r="AH47" i="91"/>
  <c r="AG47" i="91"/>
  <c r="AM28" i="91"/>
  <c r="AH30" i="91"/>
  <c r="AG30" i="91"/>
  <c r="AH16" i="91"/>
  <c r="AG16" i="91"/>
  <c r="AG26" i="91"/>
  <c r="AH26" i="91"/>
  <c r="AM45" i="91"/>
  <c r="AM40" i="91"/>
  <c r="AH42" i="91"/>
  <c r="AG42" i="91"/>
  <c r="AH12" i="91"/>
  <c r="AG12" i="91"/>
  <c r="AM39" i="91"/>
  <c r="AH17" i="91"/>
  <c r="AG17" i="91"/>
  <c r="AH36" i="91"/>
  <c r="AG36" i="91"/>
  <c r="AM22" i="91"/>
  <c r="AG33" i="91"/>
  <c r="AH33" i="91"/>
  <c r="AM32" i="91"/>
  <c r="AH34" i="91"/>
  <c r="AG34" i="91"/>
  <c r="AM49" i="91"/>
  <c r="AM31" i="91"/>
  <c r="AG21" i="91"/>
  <c r="AH21" i="91"/>
  <c r="AM44" i="91"/>
  <c r="AM43" i="91"/>
  <c r="AH15" i="91"/>
  <c r="AG15" i="91"/>
  <c r="AM14" i="91"/>
  <c r="AH19" i="91"/>
  <c r="AG19" i="91"/>
  <c r="AH27" i="91"/>
  <c r="AG27" i="91"/>
  <c r="AM48" i="91"/>
  <c r="AH13" i="91"/>
  <c r="AG13" i="91"/>
  <c r="AM33" i="91"/>
  <c r="AH32" i="91"/>
  <c r="AG32" i="91"/>
  <c r="AM34" i="91"/>
  <c r="AM41" i="91"/>
  <c r="AH49" i="91"/>
  <c r="AG49" i="91"/>
  <c r="AH31" i="91"/>
  <c r="AG31" i="91"/>
  <c r="AM46" i="91"/>
  <c r="AH20" i="91"/>
  <c r="AG20" i="91"/>
  <c r="AM18" i="91"/>
  <c r="U12" i="91"/>
  <c r="V12" i="91" s="1"/>
  <c r="U8" i="91"/>
  <c r="R9" i="91"/>
  <c r="U13" i="91"/>
  <c r="V13" i="91" s="1"/>
  <c r="U9" i="91"/>
  <c r="V9" i="91" s="1"/>
  <c r="R13" i="91"/>
  <c r="S13" i="91" s="1"/>
  <c r="O13" i="91"/>
  <c r="R10" i="91"/>
  <c r="O10" i="91"/>
  <c r="U11" i="91"/>
  <c r="V11" i="91" s="1"/>
  <c r="R12" i="91"/>
  <c r="R16" i="91" a="1"/>
  <c r="R16" i="91" s="1"/>
  <c r="O12" i="91"/>
  <c r="O8" i="91"/>
  <c r="O11" i="91"/>
  <c r="O9" i="91"/>
  <c r="O16" i="91" a="1"/>
  <c r="O16" i="91" s="1"/>
  <c r="U16" i="91" a="1"/>
  <c r="U16" i="91" s="1"/>
  <c r="U10" i="91"/>
  <c r="V10" i="91" s="1"/>
  <c r="R11" i="91"/>
  <c r="R8" i="91"/>
  <c r="AM21" i="91"/>
  <c r="AM11" i="91"/>
  <c r="AH44" i="91"/>
  <c r="AG44" i="91"/>
  <c r="AH43" i="91"/>
  <c r="AG43" i="91"/>
  <c r="AM23" i="91"/>
  <c r="AM12" i="91"/>
  <c r="AM19" i="91"/>
  <c r="AM36" i="91"/>
  <c r="AH22" i="91"/>
  <c r="AG22" i="91"/>
  <c r="BD9" i="91"/>
  <c r="BC10" i="91"/>
  <c r="BD7" i="91"/>
  <c r="BD8" i="91"/>
  <c r="C77" i="90"/>
  <c r="M13" i="90"/>
  <c r="M8" i="90"/>
  <c r="AY54" i="90"/>
  <c r="AY40" i="90"/>
  <c r="AL66" i="90"/>
  <c r="AK66" i="90"/>
  <c r="AM66" i="90" s="1"/>
  <c r="AL54" i="90"/>
  <c r="AK54" i="90"/>
  <c r="AM54" i="90" s="1"/>
  <c r="AK64" i="90"/>
  <c r="AM64" i="90" s="1"/>
  <c r="AL64" i="90"/>
  <c r="AL53" i="90"/>
  <c r="AK53" i="90"/>
  <c r="AM53" i="90" s="1"/>
  <c r="AL67" i="90"/>
  <c r="AK67" i="90"/>
  <c r="AM67" i="90" s="1"/>
  <c r="AL59" i="90"/>
  <c r="AK59" i="90"/>
  <c r="AM59" i="90" s="1"/>
  <c r="AL56" i="90"/>
  <c r="AK56" i="90"/>
  <c r="AM56" i="90" s="1"/>
  <c r="AL62" i="90"/>
  <c r="AK62" i="90"/>
  <c r="AM62" i="90" s="1"/>
  <c r="AL55" i="90"/>
  <c r="AK55" i="90"/>
  <c r="AM55" i="90" s="1"/>
  <c r="AL51" i="90"/>
  <c r="AK51" i="90"/>
  <c r="AM51" i="90" s="1"/>
  <c r="AL63" i="90"/>
  <c r="AK63" i="90"/>
  <c r="AM63" i="90" s="1"/>
  <c r="AL65" i="90"/>
  <c r="AK65" i="90"/>
  <c r="AM65" i="90" s="1"/>
  <c r="AL57" i="90"/>
  <c r="AK57" i="90"/>
  <c r="AM57" i="90" s="1"/>
  <c r="AL58" i="90"/>
  <c r="AK58" i="90"/>
  <c r="AM58" i="90" s="1"/>
  <c r="AL52" i="90"/>
  <c r="AK52" i="90"/>
  <c r="AM52" i="90" s="1"/>
  <c r="AK50" i="90"/>
  <c r="AM50" i="90" s="1"/>
  <c r="AL50" i="90"/>
  <c r="AL60" i="90"/>
  <c r="AK60" i="90"/>
  <c r="AM60" i="90" s="1"/>
  <c r="AY56" i="90"/>
  <c r="AY17" i="90"/>
  <c r="AY18" i="90"/>
  <c r="AY15" i="90"/>
  <c r="AY47" i="90"/>
  <c r="AY32" i="90"/>
  <c r="AY39" i="90"/>
  <c r="AY25" i="90"/>
  <c r="AY11" i="90"/>
  <c r="AY51" i="90"/>
  <c r="AY63" i="90"/>
  <c r="AY42" i="90"/>
  <c r="AY28" i="90"/>
  <c r="AY29" i="90"/>
  <c r="AY58" i="90"/>
  <c r="AY52" i="90"/>
  <c r="AY27" i="90"/>
  <c r="AY20" i="90"/>
  <c r="AY19" i="90"/>
  <c r="AY34" i="90"/>
  <c r="AY38" i="90"/>
  <c r="AY48" i="90"/>
  <c r="AY22" i="90"/>
  <c r="AY45" i="90"/>
  <c r="AY62" i="90"/>
  <c r="AY46" i="90"/>
  <c r="AY16" i="90"/>
  <c r="AY12" i="90"/>
  <c r="AY26" i="90"/>
  <c r="AY57" i="90"/>
  <c r="AY60" i="90"/>
  <c r="AY50" i="90"/>
  <c r="M12" i="90"/>
  <c r="BC12" i="90"/>
  <c r="AY49" i="90"/>
  <c r="AY43" i="90"/>
  <c r="AY23" i="90"/>
  <c r="AY7" i="90"/>
  <c r="AY35" i="90"/>
  <c r="AY36" i="90"/>
  <c r="AY24" i="90"/>
  <c r="AY14" i="90"/>
  <c r="AY10" i="90"/>
  <c r="AY30" i="90"/>
  <c r="AY37" i="90"/>
  <c r="AY44" i="90"/>
  <c r="AY53" i="90"/>
  <c r="AY9" i="90"/>
  <c r="AY31" i="90"/>
  <c r="AY21" i="90"/>
  <c r="AY61" i="90"/>
  <c r="AY33" i="90"/>
  <c r="AY13" i="90"/>
  <c r="AY59" i="90"/>
  <c r="M14" i="90"/>
  <c r="L5" i="90"/>
  <c r="M11" i="90"/>
  <c r="M10" i="90"/>
  <c r="M9" i="90"/>
  <c r="AY41" i="90"/>
  <c r="AY55" i="90"/>
  <c r="AY8" i="90"/>
  <c r="BC9" i="89"/>
  <c r="AW11" i="89"/>
  <c r="AW13" i="89"/>
  <c r="AW17" i="89"/>
  <c r="AX17" i="89" s="1"/>
  <c r="AW21" i="89"/>
  <c r="AX21" i="89" s="1"/>
  <c r="AW62" i="89"/>
  <c r="AW60" i="89"/>
  <c r="AX60" i="89" s="1"/>
  <c r="AW57" i="89"/>
  <c r="AX57" i="89" s="1"/>
  <c r="AW55" i="89"/>
  <c r="AX55" i="89" s="1"/>
  <c r="AW53" i="89"/>
  <c r="AX53" i="89" s="1"/>
  <c r="AW50" i="89"/>
  <c r="AX50" i="89" s="1"/>
  <c r="AW48" i="89"/>
  <c r="AX48" i="89" s="1"/>
  <c r="AW61" i="89"/>
  <c r="AX61" i="89" s="1"/>
  <c r="AW47" i="89"/>
  <c r="AW42" i="89"/>
  <c r="AX42" i="89" s="1"/>
  <c r="AW40" i="89"/>
  <c r="AX40" i="89" s="1"/>
  <c r="AW36" i="89"/>
  <c r="AX36" i="89" s="1"/>
  <c r="AW59" i="89"/>
  <c r="AW51" i="89"/>
  <c r="AX51" i="89" s="1"/>
  <c r="AW43" i="89"/>
  <c r="AX43" i="89" s="1"/>
  <c r="AW38" i="89"/>
  <c r="AW34" i="89"/>
  <c r="AW28" i="89"/>
  <c r="AX28" i="89" s="1"/>
  <c r="AW24" i="89"/>
  <c r="AX24" i="89" s="1"/>
  <c r="AW20" i="89"/>
  <c r="AX20" i="89" s="1"/>
  <c r="AW16" i="89"/>
  <c r="AX16" i="89" s="1"/>
  <c r="AW32" i="89"/>
  <c r="AX32" i="89" s="1"/>
  <c r="AW30" i="89"/>
  <c r="AX30" i="89" s="1"/>
  <c r="AW25" i="89"/>
  <c r="AX25" i="89" s="1"/>
  <c r="AW14" i="89"/>
  <c r="AX14" i="89" s="1"/>
  <c r="AW7" i="89"/>
  <c r="AX7" i="89" s="1"/>
  <c r="AW9" i="89"/>
  <c r="AX9" i="89" s="1"/>
  <c r="AX11" i="89"/>
  <c r="AX13" i="89"/>
  <c r="M10" i="89"/>
  <c r="AW10" i="89"/>
  <c r="AW12" i="89"/>
  <c r="AX12" i="89" s="1"/>
  <c r="L14" i="89"/>
  <c r="M9" i="89" s="1"/>
  <c r="AW8" i="89"/>
  <c r="AX8" i="89" s="1"/>
  <c r="AX10" i="89"/>
  <c r="AW15" i="89"/>
  <c r="AX15" i="89" s="1"/>
  <c r="AW19" i="89"/>
  <c r="AX19" i="89" s="1"/>
  <c r="AW23" i="89"/>
  <c r="AX23" i="89" s="1"/>
  <c r="AW27" i="89"/>
  <c r="AX27" i="89" s="1"/>
  <c r="AW18" i="89"/>
  <c r="AX18" i="89" s="1"/>
  <c r="AW22" i="89"/>
  <c r="AX22" i="89" s="1"/>
  <c r="AW26" i="89"/>
  <c r="AX26" i="89" s="1"/>
  <c r="AX34" i="89"/>
  <c r="AX38" i="89"/>
  <c r="AW29" i="89"/>
  <c r="AX29" i="89" s="1"/>
  <c r="AW39" i="89"/>
  <c r="AX39" i="89" s="1"/>
  <c r="AW31" i="89"/>
  <c r="AX31" i="89" s="1"/>
  <c r="AW33" i="89"/>
  <c r="AX33" i="89" s="1"/>
  <c r="AW35" i="89"/>
  <c r="AX35" i="89" s="1"/>
  <c r="AW52" i="89"/>
  <c r="AX52" i="89" s="1"/>
  <c r="AW54" i="89"/>
  <c r="AX54" i="89" s="1"/>
  <c r="AW56" i="89"/>
  <c r="AX56" i="89" s="1"/>
  <c r="AW58" i="89"/>
  <c r="AX58" i="89" s="1"/>
  <c r="AX59" i="89"/>
  <c r="AW46" i="89"/>
  <c r="AX46" i="89" s="1"/>
  <c r="AW37" i="89"/>
  <c r="AX37" i="89" s="1"/>
  <c r="AW41" i="89"/>
  <c r="AX41" i="89" s="1"/>
  <c r="AW44" i="89"/>
  <c r="AX44" i="89" s="1"/>
  <c r="AX47" i="89"/>
  <c r="AW49" i="89"/>
  <c r="AX49" i="89" s="1"/>
  <c r="AX62" i="89"/>
  <c r="AW63" i="89"/>
  <c r="AX63" i="89" s="1"/>
  <c r="AW45" i="89"/>
  <c r="AX45" i="89" s="1"/>
  <c r="C68" i="88"/>
  <c r="B68" i="88" s="1"/>
  <c r="AH67" i="88"/>
  <c r="AG67" i="88"/>
  <c r="AF67" i="88"/>
  <c r="AH66" i="88"/>
  <c r="AG66" i="88"/>
  <c r="AF66" i="88"/>
  <c r="AH65" i="88"/>
  <c r="AG65" i="88"/>
  <c r="AF65" i="88"/>
  <c r="AH64" i="88"/>
  <c r="AG64" i="88"/>
  <c r="AF64" i="88"/>
  <c r="BI63" i="88"/>
  <c r="BH63" i="88"/>
  <c r="BG63" i="88"/>
  <c r="BF63" i="88"/>
  <c r="AV63" i="88"/>
  <c r="AH63" i="88"/>
  <c r="AG63" i="88"/>
  <c r="AF63" i="88"/>
  <c r="AV62" i="88"/>
  <c r="AH62" i="88"/>
  <c r="AG62" i="88"/>
  <c r="AF62" i="88"/>
  <c r="G62" i="88"/>
  <c r="AV61" i="88"/>
  <c r="AV60" i="88"/>
  <c r="AH60" i="88"/>
  <c r="AG60" i="88"/>
  <c r="AF60" i="88"/>
  <c r="AF61" i="88" s="1"/>
  <c r="G60" i="88"/>
  <c r="E60" i="88" s="1"/>
  <c r="AV59" i="88"/>
  <c r="AH59" i="88"/>
  <c r="AG59" i="88"/>
  <c r="AF59" i="88"/>
  <c r="G59" i="88"/>
  <c r="E59" i="88" s="1"/>
  <c r="AV58" i="88"/>
  <c r="AH58" i="88"/>
  <c r="AG58" i="88"/>
  <c r="AF58" i="88"/>
  <c r="G58" i="88"/>
  <c r="AV57" i="88"/>
  <c r="AH57" i="88"/>
  <c r="AG57" i="88"/>
  <c r="AF57" i="88"/>
  <c r="G57" i="88"/>
  <c r="AV56" i="88"/>
  <c r="AH56" i="88"/>
  <c r="AG56" i="88"/>
  <c r="AF56" i="88"/>
  <c r="G56" i="88"/>
  <c r="AV55" i="88"/>
  <c r="AH55" i="88"/>
  <c r="AG55" i="88"/>
  <c r="AF55" i="88"/>
  <c r="G55" i="88"/>
  <c r="AV54" i="88"/>
  <c r="AH54" i="88"/>
  <c r="AG54" i="88"/>
  <c r="AF54" i="88"/>
  <c r="G54" i="88"/>
  <c r="AV53" i="88"/>
  <c r="AH53" i="88"/>
  <c r="AG53" i="88"/>
  <c r="AF53" i="88"/>
  <c r="G53" i="88"/>
  <c r="AV52" i="88"/>
  <c r="AH52" i="88"/>
  <c r="AG52" i="88"/>
  <c r="AF52" i="88"/>
  <c r="AV51" i="88"/>
  <c r="AH51" i="88"/>
  <c r="AG51" i="88"/>
  <c r="AF51" i="88"/>
  <c r="AV50" i="88"/>
  <c r="AH50" i="88"/>
  <c r="AG50" i="88"/>
  <c r="AF50" i="88"/>
  <c r="AV49" i="88"/>
  <c r="AV48" i="88"/>
  <c r="AV47" i="88"/>
  <c r="AV46" i="88"/>
  <c r="AV45" i="88"/>
  <c r="AV44" i="88"/>
  <c r="AV43" i="88"/>
  <c r="AV42" i="88"/>
  <c r="AV41" i="88"/>
  <c r="AV40" i="88"/>
  <c r="AV39" i="88"/>
  <c r="AV38" i="88"/>
  <c r="AV37" i="88"/>
  <c r="AV36" i="88"/>
  <c r="AV35" i="88"/>
  <c r="AV34" i="88"/>
  <c r="AV33" i="88"/>
  <c r="AV32" i="88"/>
  <c r="AV31" i="88"/>
  <c r="AV30" i="88"/>
  <c r="AV29" i="88"/>
  <c r="AV28" i="88"/>
  <c r="AV27" i="88"/>
  <c r="AV26" i="88"/>
  <c r="AV25" i="88"/>
  <c r="AV24" i="88"/>
  <c r="AV23" i="88"/>
  <c r="AV22" i="88"/>
  <c r="AV21" i="88"/>
  <c r="AV20" i="88"/>
  <c r="AV19" i="88"/>
  <c r="AV18" i="88"/>
  <c r="AV17" i="88"/>
  <c r="AV16" i="88"/>
  <c r="L16" i="88" a="1"/>
  <c r="L16" i="88" s="1"/>
  <c r="AV15" i="88"/>
  <c r="AV14" i="88"/>
  <c r="AV13" i="88"/>
  <c r="L13" i="88"/>
  <c r="AV12" i="88"/>
  <c r="L12" i="88"/>
  <c r="AV11" i="88"/>
  <c r="L11" i="88"/>
  <c r="AV10" i="88"/>
  <c r="L10" i="88"/>
  <c r="AV9" i="88"/>
  <c r="L9" i="88"/>
  <c r="AV8" i="88"/>
  <c r="L8" i="88"/>
  <c r="BC7" i="88"/>
  <c r="BC8" i="88" s="1"/>
  <c r="AV7" i="88"/>
  <c r="AF7" i="88"/>
  <c r="AF8" i="88" s="1"/>
  <c r="AF9" i="88" s="1"/>
  <c r="AF10" i="88" s="1"/>
  <c r="AF11" i="88" s="1"/>
  <c r="AF12" i="88" s="1"/>
  <c r="AF13" i="88" s="1"/>
  <c r="AF14" i="88" s="1"/>
  <c r="AF15" i="88" s="1"/>
  <c r="AF16" i="88" s="1"/>
  <c r="AF17" i="88" s="1"/>
  <c r="AF18" i="88" s="1"/>
  <c r="AF19" i="88" s="1"/>
  <c r="AF20" i="88" s="1"/>
  <c r="AF21" i="88" s="1"/>
  <c r="AF22" i="88" s="1"/>
  <c r="AF23" i="88" s="1"/>
  <c r="AF24" i="88" s="1"/>
  <c r="AF25" i="88" s="1"/>
  <c r="AF26" i="88" s="1"/>
  <c r="AF27" i="88" s="1"/>
  <c r="AF28" i="88" s="1"/>
  <c r="AF29" i="88" s="1"/>
  <c r="AF30" i="88" s="1"/>
  <c r="AF31" i="88" s="1"/>
  <c r="AF32" i="88" s="1"/>
  <c r="AF33" i="88" s="1"/>
  <c r="AF34" i="88" s="1"/>
  <c r="AF35" i="88" s="1"/>
  <c r="AF36" i="88" s="1"/>
  <c r="AF37" i="88" s="1"/>
  <c r="AF38" i="88" s="1"/>
  <c r="AF39" i="88" s="1"/>
  <c r="AF40" i="88" s="1"/>
  <c r="AF41" i="88" s="1"/>
  <c r="AF42" i="88" s="1"/>
  <c r="AF43" i="88" s="1"/>
  <c r="AF44" i="88" s="1"/>
  <c r="AF45" i="88" s="1"/>
  <c r="AF46" i="88" s="1"/>
  <c r="AF47" i="88" s="1"/>
  <c r="AF48" i="88" s="1"/>
  <c r="AF49" i="88" s="1"/>
  <c r="AL4" i="88"/>
  <c r="AL2" i="88" s="1"/>
  <c r="AK4" i="88"/>
  <c r="AK2" i="88" s="1"/>
  <c r="AJ4" i="88"/>
  <c r="AJ2" i="88" s="1"/>
  <c r="G3" i="88"/>
  <c r="E2" i="88"/>
  <c r="E3" i="88" s="1"/>
  <c r="A1" i="88"/>
  <c r="G20" i="88"/>
  <c r="G27" i="88"/>
  <c r="E6" i="88"/>
  <c r="G7" i="88"/>
  <c r="AJ11" i="88"/>
  <c r="G39" i="89"/>
  <c r="G19" i="89"/>
  <c r="G26" i="89"/>
  <c r="AJ44" i="89"/>
  <c r="AJ41" i="89"/>
  <c r="AJ25" i="89"/>
  <c r="G15" i="89"/>
  <c r="G47" i="89"/>
  <c r="G38" i="89"/>
  <c r="G10" i="89"/>
  <c r="AJ67" i="89"/>
  <c r="AJ42" i="89"/>
  <c r="AJ19" i="89"/>
  <c r="AJ10" i="89"/>
  <c r="G37" i="89"/>
  <c r="G13" i="89"/>
  <c r="AJ65" i="89"/>
  <c r="AJ61" i="89"/>
  <c r="AJ46" i="89"/>
  <c r="AJ17" i="89"/>
  <c r="G36" i="89"/>
  <c r="G20" i="89"/>
  <c r="AJ38" i="89"/>
  <c r="G32" i="89"/>
  <c r="G16" i="89"/>
  <c r="AJ66" i="89"/>
  <c r="AJ45" i="89"/>
  <c r="AJ34" i="89"/>
  <c r="AJ22" i="89"/>
  <c r="AL8" i="89"/>
  <c r="G49" i="89"/>
  <c r="G31" i="89"/>
  <c r="G21" i="89"/>
  <c r="AJ53" i="89"/>
  <c r="AJ40" i="89"/>
  <c r="AJ16" i="89"/>
  <c r="G48" i="89"/>
  <c r="G34" i="89"/>
  <c r="G9" i="89"/>
  <c r="AJ59" i="89"/>
  <c r="AJ56" i="89"/>
  <c r="AJ29" i="89"/>
  <c r="AJ14" i="89"/>
  <c r="G43" i="89"/>
  <c r="G12" i="89"/>
  <c r="AJ51" i="89"/>
  <c r="AJ54" i="89"/>
  <c r="AJ27" i="89"/>
  <c r="AJ7" i="89"/>
  <c r="G8" i="89"/>
  <c r="AJ57" i="89"/>
  <c r="AJ24" i="89"/>
  <c r="AJ13" i="89"/>
  <c r="AK8" i="89"/>
  <c r="G42" i="89"/>
  <c r="G11" i="89"/>
  <c r="AJ47" i="89"/>
  <c r="AJ52" i="89"/>
  <c r="AJ23" i="89"/>
  <c r="AJ11" i="89"/>
  <c r="AJ12" i="89"/>
  <c r="G35" i="89"/>
  <c r="G28" i="89"/>
  <c r="G22" i="89"/>
  <c r="AJ64" i="89"/>
  <c r="AJ37" i="89"/>
  <c r="AJ21" i="89"/>
  <c r="G45" i="89"/>
  <c r="G27" i="89"/>
  <c r="G17" i="89"/>
  <c r="AJ60" i="89"/>
  <c r="AJ39" i="89"/>
  <c r="AJ28" i="89"/>
  <c r="G44" i="89"/>
  <c r="G30" i="89"/>
  <c r="AJ35" i="89"/>
  <c r="G61" i="89"/>
  <c r="G33" i="89"/>
  <c r="G25" i="89"/>
  <c r="AJ55" i="89"/>
  <c r="AJ43" i="89"/>
  <c r="AJ20" i="89"/>
  <c r="G7" i="89"/>
  <c r="AJ15" i="89"/>
  <c r="G41" i="89"/>
  <c r="G14" i="89"/>
  <c r="AJ62" i="89"/>
  <c r="AJ58" i="89"/>
  <c r="AJ30" i="89"/>
  <c r="AJ18" i="89"/>
  <c r="G40" i="89"/>
  <c r="G24" i="89"/>
  <c r="G18" i="89"/>
  <c r="AJ50" i="89"/>
  <c r="AJ36" i="89"/>
  <c r="AJ33" i="89"/>
  <c r="G46" i="89"/>
  <c r="G23" i="89"/>
  <c r="G29" i="89"/>
  <c r="AJ48" i="89"/>
  <c r="AJ32" i="89"/>
  <c r="AJ31" i="89"/>
  <c r="AJ9" i="89"/>
  <c r="AJ63" i="89"/>
  <c r="AJ49" i="89"/>
  <c r="AJ26" i="89"/>
  <c r="AK12" i="90"/>
  <c r="E36" i="90"/>
  <c r="AL13" i="90"/>
  <c r="AL45" i="90"/>
  <c r="AK24" i="90"/>
  <c r="AK47" i="90"/>
  <c r="AL49" i="90"/>
  <c r="E11" i="90"/>
  <c r="E40" i="90"/>
  <c r="AK11" i="90"/>
  <c r="AL18" i="90"/>
  <c r="AL40" i="90"/>
  <c r="AL34" i="90"/>
  <c r="AL41" i="90"/>
  <c r="E18" i="90"/>
  <c r="AK9" i="90"/>
  <c r="AK21" i="90"/>
  <c r="AK36" i="90"/>
  <c r="AL31" i="90"/>
  <c r="AL48" i="90"/>
  <c r="E10" i="90"/>
  <c r="AL8" i="90"/>
  <c r="E12" i="90"/>
  <c r="E42" i="90"/>
  <c r="E9" i="90"/>
  <c r="E31" i="90"/>
  <c r="E48" i="90"/>
  <c r="AK33" i="90"/>
  <c r="AL20" i="90"/>
  <c r="AK32" i="90"/>
  <c r="AK39" i="90"/>
  <c r="AK46" i="90"/>
  <c r="AL61" i="90"/>
  <c r="E35" i="90"/>
  <c r="E61" i="90"/>
  <c r="AK29" i="90"/>
  <c r="AL38" i="90"/>
  <c r="AK44" i="90"/>
  <c r="E47" i="90"/>
  <c r="AL21" i="90"/>
  <c r="AK31" i="90"/>
  <c r="E49" i="90"/>
  <c r="E26" i="90"/>
  <c r="E32" i="90"/>
  <c r="AK20" i="90"/>
  <c r="AL32" i="90"/>
  <c r="AK61" i="90"/>
  <c r="AL12" i="90"/>
  <c r="AK7" i="90"/>
  <c r="AL14" i="90"/>
  <c r="AL42" i="90"/>
  <c r="AL25" i="90"/>
  <c r="AL30" i="90"/>
  <c r="AL37" i="90"/>
  <c r="E7" i="90"/>
  <c r="E16" i="90"/>
  <c r="E38" i="90"/>
  <c r="AL11" i="90"/>
  <c r="AK18" i="90"/>
  <c r="AK40" i="90"/>
  <c r="AK34" i="90"/>
  <c r="AK41" i="90"/>
  <c r="E20" i="90"/>
  <c r="AL22" i="90"/>
  <c r="AK16" i="90"/>
  <c r="AL28" i="90"/>
  <c r="AK35" i="90"/>
  <c r="AK43" i="90"/>
  <c r="E39" i="90"/>
  <c r="AK8" i="90"/>
  <c r="E28" i="90"/>
  <c r="E44" i="90"/>
  <c r="E13" i="90"/>
  <c r="E30" i="90"/>
  <c r="AL10" i="90"/>
  <c r="AK23" i="90"/>
  <c r="AL19" i="90"/>
  <c r="AL26" i="90"/>
  <c r="AK48" i="90"/>
  <c r="AL33" i="90"/>
  <c r="AL46" i="90"/>
  <c r="E29" i="90"/>
  <c r="AL7" i="90"/>
  <c r="AK14" i="90"/>
  <c r="AK42" i="90"/>
  <c r="AK25" i="90"/>
  <c r="AK30" i="90"/>
  <c r="AK37" i="90"/>
  <c r="E17" i="90"/>
  <c r="E33" i="90"/>
  <c r="E37" i="90"/>
  <c r="AL15" i="90"/>
  <c r="AL17" i="90"/>
  <c r="AL29" i="90"/>
  <c r="AK27" i="90"/>
  <c r="AK38" i="90"/>
  <c r="AL44" i="90"/>
  <c r="E14" i="90"/>
  <c r="E41" i="90"/>
  <c r="AK22" i="90"/>
  <c r="AL16" i="90"/>
  <c r="AK28" i="90"/>
  <c r="AL35" i="90"/>
  <c r="AL43" i="90"/>
  <c r="E34" i="90"/>
  <c r="E21" i="90"/>
  <c r="E27" i="90"/>
  <c r="E22" i="90"/>
  <c r="E23" i="90"/>
  <c r="E45" i="90"/>
  <c r="AK10" i="90"/>
  <c r="AL23" i="90"/>
  <c r="AK19" i="90"/>
  <c r="AK26" i="90"/>
  <c r="E19" i="90"/>
  <c r="AK13" i="90"/>
  <c r="AK45" i="90"/>
  <c r="AL24" i="90"/>
  <c r="AL47" i="90"/>
  <c r="AK49" i="90"/>
  <c r="E43" i="90"/>
  <c r="AK15" i="90"/>
  <c r="AK17" i="90"/>
  <c r="AL27" i="90"/>
  <c r="AL9" i="90"/>
  <c r="AL36" i="90"/>
  <c r="E24" i="90"/>
  <c r="E8" i="90"/>
  <c r="E25" i="90"/>
  <c r="E46" i="90"/>
  <c r="AL39" i="90"/>
  <c r="AA13" i="91" l="1"/>
  <c r="BI9" i="91"/>
  <c r="BH9" i="91"/>
  <c r="BG9" i="91"/>
  <c r="BF9" i="91"/>
  <c r="O14" i="91"/>
  <c r="P13" i="91" s="1"/>
  <c r="AA8" i="91"/>
  <c r="U14" i="91"/>
  <c r="V8" i="91"/>
  <c r="BD10" i="91"/>
  <c r="BC11" i="91"/>
  <c r="BI8" i="91"/>
  <c r="BG8" i="91"/>
  <c r="BF8" i="91"/>
  <c r="BH8" i="91"/>
  <c r="R14" i="91"/>
  <c r="S8" i="91" s="1"/>
  <c r="AA12" i="91"/>
  <c r="AA10" i="91"/>
  <c r="P10" i="91"/>
  <c r="AA11" i="91"/>
  <c r="BF7" i="91"/>
  <c r="BH7" i="91"/>
  <c r="BI7" i="91"/>
  <c r="BG7" i="91"/>
  <c r="AA9" i="91"/>
  <c r="AG39" i="90"/>
  <c r="AH39" i="90"/>
  <c r="AH36" i="90"/>
  <c r="AG36" i="90"/>
  <c r="AH9" i="90"/>
  <c r="AG9" i="90"/>
  <c r="AH27" i="90"/>
  <c r="AG27" i="90"/>
  <c r="AM17" i="90"/>
  <c r="AM15" i="90"/>
  <c r="AM49" i="90"/>
  <c r="AH47" i="90"/>
  <c r="AG47" i="90"/>
  <c r="AG24" i="90"/>
  <c r="AH24" i="90"/>
  <c r="AM45" i="90"/>
  <c r="AM13" i="90"/>
  <c r="AM26" i="90"/>
  <c r="AM19" i="90"/>
  <c r="AG23" i="90"/>
  <c r="AH23" i="90"/>
  <c r="AM10" i="90"/>
  <c r="AH43" i="90"/>
  <c r="AG43" i="90"/>
  <c r="AH35" i="90"/>
  <c r="AG35" i="90"/>
  <c r="AM28" i="90"/>
  <c r="AH16" i="90"/>
  <c r="AG16" i="90"/>
  <c r="AM22" i="90"/>
  <c r="AG44" i="90"/>
  <c r="AH44" i="90"/>
  <c r="AM38" i="90"/>
  <c r="AM27" i="90"/>
  <c r="AH29" i="90"/>
  <c r="AG29" i="90"/>
  <c r="AG17" i="90"/>
  <c r="AH17" i="90"/>
  <c r="AH15" i="90"/>
  <c r="AG15" i="90"/>
  <c r="AM37" i="90"/>
  <c r="AM30" i="90"/>
  <c r="AM25" i="90"/>
  <c r="AM42" i="90"/>
  <c r="AM14" i="90"/>
  <c r="AH7" i="90"/>
  <c r="AG7" i="90"/>
  <c r="AG46" i="90"/>
  <c r="AH46" i="90"/>
  <c r="AH33" i="90"/>
  <c r="AG33" i="90"/>
  <c r="AM48" i="90"/>
  <c r="AH26" i="90"/>
  <c r="AG26" i="90"/>
  <c r="AH19" i="90"/>
  <c r="AG19" i="90"/>
  <c r="AM23" i="90"/>
  <c r="AH10" i="90"/>
  <c r="AG10" i="90"/>
  <c r="AM8" i="90"/>
  <c r="AM43" i="90"/>
  <c r="AM35" i="90"/>
  <c r="AG28" i="90"/>
  <c r="AH28" i="90"/>
  <c r="AM16" i="90"/>
  <c r="AH22" i="90"/>
  <c r="AG22" i="90"/>
  <c r="AM41" i="90"/>
  <c r="AM34" i="90"/>
  <c r="AM40" i="90"/>
  <c r="AM18" i="90"/>
  <c r="AH11" i="90"/>
  <c r="AG11" i="90"/>
  <c r="R16" i="90" a="1"/>
  <c r="R16" i="90" s="1"/>
  <c r="O16" i="90" a="1"/>
  <c r="O16" i="90" s="1"/>
  <c r="U16" i="90" a="1"/>
  <c r="U16" i="90" s="1"/>
  <c r="U12" i="90"/>
  <c r="V12" i="90" s="1"/>
  <c r="O11" i="90"/>
  <c r="R10" i="90"/>
  <c r="U8" i="90"/>
  <c r="U13" i="90"/>
  <c r="V13" i="90" s="1"/>
  <c r="U11" i="90"/>
  <c r="V11" i="90" s="1"/>
  <c r="O10" i="90"/>
  <c r="R9" i="90"/>
  <c r="R13" i="90"/>
  <c r="S13" i="90" s="1"/>
  <c r="R12" i="90"/>
  <c r="U10" i="90"/>
  <c r="V10" i="90" s="1"/>
  <c r="O9" i="90"/>
  <c r="R8" i="90"/>
  <c r="O13" i="90"/>
  <c r="O12" i="90"/>
  <c r="R11" i="90"/>
  <c r="U9" i="90"/>
  <c r="V9" i="90" s="1"/>
  <c r="O8" i="90"/>
  <c r="AH37" i="90"/>
  <c r="AG37" i="90"/>
  <c r="AH30" i="90"/>
  <c r="AG30" i="90"/>
  <c r="AH25" i="90"/>
  <c r="AG25" i="90"/>
  <c r="AG42" i="90"/>
  <c r="AH42" i="90"/>
  <c r="AG14" i="90"/>
  <c r="AH14" i="90"/>
  <c r="AM7" i="90"/>
  <c r="AH12" i="90"/>
  <c r="AG12" i="90"/>
  <c r="AM61" i="90"/>
  <c r="AG32" i="90"/>
  <c r="AH32" i="90"/>
  <c r="AM20" i="90"/>
  <c r="AM31" i="90"/>
  <c r="AG21" i="90"/>
  <c r="AH21" i="90"/>
  <c r="AM44" i="90"/>
  <c r="AG38" i="90"/>
  <c r="AH38" i="90"/>
  <c r="AM29" i="90"/>
  <c r="AH61" i="90"/>
  <c r="AG61" i="90"/>
  <c r="AM46" i="90"/>
  <c r="AM39" i="90"/>
  <c r="AM32" i="90"/>
  <c r="AH20" i="90"/>
  <c r="AG20" i="90"/>
  <c r="AM33" i="90"/>
  <c r="AH8" i="90"/>
  <c r="AG8" i="90"/>
  <c r="AH48" i="90"/>
  <c r="AG48" i="90"/>
  <c r="AH31" i="90"/>
  <c r="AG31" i="90"/>
  <c r="AM36" i="90"/>
  <c r="AM21" i="90"/>
  <c r="AM9" i="90"/>
  <c r="AH41" i="90"/>
  <c r="AG41" i="90"/>
  <c r="AH34" i="90"/>
  <c r="AG34" i="90"/>
  <c r="AH40" i="90"/>
  <c r="AG40" i="90"/>
  <c r="AH18" i="90"/>
  <c r="AG18" i="90"/>
  <c r="AM11" i="90"/>
  <c r="AH49" i="90"/>
  <c r="AG49" i="90"/>
  <c r="AM47" i="90"/>
  <c r="AM24" i="90"/>
  <c r="AH45" i="90"/>
  <c r="AG45" i="90"/>
  <c r="AH13" i="90"/>
  <c r="AG13" i="90"/>
  <c r="AM12" i="90"/>
  <c r="BD8" i="90"/>
  <c r="BD7" i="90"/>
  <c r="BD9" i="90"/>
  <c r="BD10" i="90"/>
  <c r="BD12" i="90"/>
  <c r="BC13" i="90"/>
  <c r="BD11" i="90"/>
  <c r="AY63" i="89"/>
  <c r="AY46" i="89"/>
  <c r="AL54" i="89"/>
  <c r="AK54" i="89"/>
  <c r="AM54" i="89" s="1"/>
  <c r="AK57" i="89"/>
  <c r="AM57" i="89" s="1"/>
  <c r="AL57" i="89"/>
  <c r="AL51" i="89"/>
  <c r="AK51" i="89"/>
  <c r="AM51" i="89" s="1"/>
  <c r="AL63" i="89"/>
  <c r="AK63" i="89"/>
  <c r="AM63" i="89" s="1"/>
  <c r="AL56" i="89"/>
  <c r="AK56" i="89"/>
  <c r="AM56" i="89" s="1"/>
  <c r="AK50" i="89"/>
  <c r="AM50" i="89" s="1"/>
  <c r="AL50" i="89"/>
  <c r="AL60" i="89"/>
  <c r="AK60" i="89"/>
  <c r="AM60" i="89" s="1"/>
  <c r="AL59" i="89"/>
  <c r="AK59" i="89"/>
  <c r="AM59" i="89" s="1"/>
  <c r="AL65" i="89"/>
  <c r="AK65" i="89"/>
  <c r="AM65" i="89" s="1"/>
  <c r="AL58" i="89"/>
  <c r="AK58" i="89"/>
  <c r="AM58" i="89" s="1"/>
  <c r="AL64" i="89"/>
  <c r="AK64" i="89"/>
  <c r="AM64" i="89" s="1"/>
  <c r="AK53" i="89"/>
  <c r="AM53" i="89" s="1"/>
  <c r="AL53" i="89"/>
  <c r="AL67" i="89"/>
  <c r="AK67" i="89"/>
  <c r="AM67" i="89" s="1"/>
  <c r="AK62" i="89"/>
  <c r="AM62" i="89" s="1"/>
  <c r="AL62" i="89"/>
  <c r="AH8" i="89"/>
  <c r="AG8" i="89"/>
  <c r="AL52" i="89"/>
  <c r="AK52" i="89"/>
  <c r="AM52" i="89" s="1"/>
  <c r="AK55" i="89"/>
  <c r="AM55" i="89" s="1"/>
  <c r="AL55" i="89"/>
  <c r="AK66" i="89"/>
  <c r="AM66" i="89" s="1"/>
  <c r="AL66" i="89"/>
  <c r="AM8" i="89"/>
  <c r="AY52" i="89"/>
  <c r="AY22" i="89"/>
  <c r="AY23" i="89"/>
  <c r="AY58" i="89"/>
  <c r="AY18" i="89"/>
  <c r="AY19" i="89"/>
  <c r="AY8" i="89"/>
  <c r="AY37" i="89"/>
  <c r="AY56" i="89"/>
  <c r="AY33" i="89"/>
  <c r="AY14" i="89"/>
  <c r="AY54" i="89"/>
  <c r="AY31" i="89"/>
  <c r="AY26" i="89"/>
  <c r="AY51" i="89"/>
  <c r="AY40" i="89"/>
  <c r="AY35" i="89"/>
  <c r="AY32" i="89"/>
  <c r="AY12" i="89"/>
  <c r="AY27" i="89"/>
  <c r="AY9" i="89"/>
  <c r="AY16" i="89"/>
  <c r="AY53" i="89"/>
  <c r="AY21" i="89"/>
  <c r="M11" i="89"/>
  <c r="AY44" i="89"/>
  <c r="AY29" i="89"/>
  <c r="AY30" i="89"/>
  <c r="AY41" i="89"/>
  <c r="AY10" i="89"/>
  <c r="AY15" i="89"/>
  <c r="AY7" i="89"/>
  <c r="AY25" i="89"/>
  <c r="AY20" i="89"/>
  <c r="AY36" i="89"/>
  <c r="AY61" i="89"/>
  <c r="AY55" i="89"/>
  <c r="AY17" i="89"/>
  <c r="M13" i="89"/>
  <c r="Y14" i="89"/>
  <c r="AY45" i="89"/>
  <c r="AY62" i="89"/>
  <c r="AY42" i="89"/>
  <c r="AY43" i="89"/>
  <c r="AY38" i="89"/>
  <c r="M12" i="89"/>
  <c r="M8" i="89"/>
  <c r="AY13" i="89"/>
  <c r="AY24" i="89"/>
  <c r="AY48" i="89"/>
  <c r="AY57" i="89"/>
  <c r="AY47" i="89"/>
  <c r="AY49" i="89"/>
  <c r="AY59" i="89"/>
  <c r="AY39" i="89"/>
  <c r="AY34" i="89"/>
  <c r="M14" i="89"/>
  <c r="L5" i="89"/>
  <c r="C77" i="89"/>
  <c r="AY11" i="89"/>
  <c r="AY28" i="89"/>
  <c r="AY50" i="89"/>
  <c r="AY60" i="89"/>
  <c r="BC10" i="89"/>
  <c r="AW9" i="88"/>
  <c r="AX9" i="88" s="1"/>
  <c r="AW58" i="88"/>
  <c r="AX58" i="88" s="1"/>
  <c r="AW56" i="88"/>
  <c r="AW54" i="88"/>
  <c r="AX54" i="88" s="1"/>
  <c r="AW52" i="88"/>
  <c r="AX52" i="88" s="1"/>
  <c r="AW60" i="88"/>
  <c r="AW57" i="88"/>
  <c r="AW55" i="88"/>
  <c r="AX55" i="88" s="1"/>
  <c r="AW50" i="88"/>
  <c r="AX50" i="88" s="1"/>
  <c r="AW44" i="88"/>
  <c r="AX44" i="88" s="1"/>
  <c r="AW53" i="88"/>
  <c r="AX53" i="88" s="1"/>
  <c r="AW48" i="88"/>
  <c r="AX48" i="88" s="1"/>
  <c r="AW37" i="88"/>
  <c r="AX37" i="88" s="1"/>
  <c r="AW29" i="88"/>
  <c r="AX29" i="88" s="1"/>
  <c r="AW23" i="88"/>
  <c r="AX23" i="88" s="1"/>
  <c r="AW19" i="88"/>
  <c r="AX19" i="88" s="1"/>
  <c r="AW33" i="88"/>
  <c r="AX33" i="88" s="1"/>
  <c r="AW25" i="88"/>
  <c r="AW17" i="88"/>
  <c r="AX17" i="88" s="1"/>
  <c r="AW13" i="88"/>
  <c r="AX13" i="88" s="1"/>
  <c r="AW12" i="88"/>
  <c r="AX12" i="88" s="1"/>
  <c r="AW11" i="88"/>
  <c r="AX11" i="88" s="1"/>
  <c r="AW7" i="88"/>
  <c r="AX7" i="88" s="1"/>
  <c r="AW41" i="88"/>
  <c r="AX41" i="88" s="1"/>
  <c r="AW21" i="88"/>
  <c r="AX21" i="88" s="1"/>
  <c r="L14" i="88"/>
  <c r="M9" i="88" s="1"/>
  <c r="AW8" i="88"/>
  <c r="AX8" i="88" s="1"/>
  <c r="BC9" i="88"/>
  <c r="M11" i="88"/>
  <c r="AW14" i="88"/>
  <c r="AX14" i="88" s="1"/>
  <c r="AW22" i="88"/>
  <c r="AX22" i="88" s="1"/>
  <c r="AX25" i="88"/>
  <c r="AW36" i="88"/>
  <c r="AX36" i="88" s="1"/>
  <c r="AW10" i="88"/>
  <c r="AX10" i="88" s="1"/>
  <c r="AW16" i="88"/>
  <c r="AX16" i="88" s="1"/>
  <c r="AW24" i="88"/>
  <c r="AX24" i="88" s="1"/>
  <c r="AW15" i="88"/>
  <c r="AX15" i="88" s="1"/>
  <c r="AW20" i="88"/>
  <c r="AX20" i="88" s="1"/>
  <c r="AW26" i="88"/>
  <c r="AX26" i="88" s="1"/>
  <c r="AW28" i="88"/>
  <c r="AX28" i="88" s="1"/>
  <c r="AW42" i="88"/>
  <c r="AX42" i="88" s="1"/>
  <c r="AW18" i="88"/>
  <c r="AX18" i="88" s="1"/>
  <c r="AW43" i="88"/>
  <c r="AX43" i="88" s="1"/>
  <c r="AW34" i="88"/>
  <c r="AX34" i="88" s="1"/>
  <c r="AW45" i="88"/>
  <c r="AX45" i="88" s="1"/>
  <c r="AW32" i="88"/>
  <c r="AX32" i="88" s="1"/>
  <c r="AW40" i="88"/>
  <c r="AX40" i="88" s="1"/>
  <c r="AW27" i="88"/>
  <c r="AX27" i="88" s="1"/>
  <c r="AW30" i="88"/>
  <c r="AX30" i="88" s="1"/>
  <c r="AW38" i="88"/>
  <c r="AX38" i="88" s="1"/>
  <c r="AW51" i="88"/>
  <c r="AX51" i="88" s="1"/>
  <c r="AX56" i="88"/>
  <c r="AW31" i="88"/>
  <c r="AX31" i="88" s="1"/>
  <c r="AW35" i="88"/>
  <c r="AX35" i="88" s="1"/>
  <c r="AW39" i="88"/>
  <c r="AX39" i="88" s="1"/>
  <c r="AW49" i="88"/>
  <c r="AX49" i="88" s="1"/>
  <c r="AX57" i="88"/>
  <c r="AX60" i="88"/>
  <c r="AW47" i="88"/>
  <c r="AX47" i="88" s="1"/>
  <c r="AW61" i="88"/>
  <c r="AX61" i="88" s="1"/>
  <c r="AW59" i="88"/>
  <c r="AX59" i="88" s="1"/>
  <c r="AW62" i="88"/>
  <c r="AX62" i="88" s="1"/>
  <c r="AW46" i="88"/>
  <c r="AX46" i="88" s="1"/>
  <c r="AW63" i="88"/>
  <c r="AX63" i="88" s="1"/>
  <c r="CI31" i="7"/>
  <c r="CI21" i="7"/>
  <c r="CI11" i="7"/>
  <c r="CI7" i="7"/>
  <c r="AJ20" i="88"/>
  <c r="AJ7" i="88"/>
  <c r="G48" i="88"/>
  <c r="G35" i="88"/>
  <c r="AJ60" i="88"/>
  <c r="AJ66" i="88"/>
  <c r="AJ31" i="88"/>
  <c r="G8" i="88"/>
  <c r="G30" i="88"/>
  <c r="AJ57" i="88"/>
  <c r="AJ62" i="88"/>
  <c r="AJ46" i="88"/>
  <c r="G9" i="88"/>
  <c r="G39" i="88"/>
  <c r="AJ63" i="88"/>
  <c r="AJ32" i="88"/>
  <c r="G47" i="88"/>
  <c r="AJ55" i="88"/>
  <c r="AJ59" i="88"/>
  <c r="AJ36" i="88"/>
  <c r="G10" i="88"/>
  <c r="G49" i="88"/>
  <c r="G28" i="88"/>
  <c r="AJ29" i="88"/>
  <c r="AJ16" i="88"/>
  <c r="AJ22" i="88"/>
  <c r="AJ53" i="88"/>
  <c r="AJ54" i="88"/>
  <c r="AJ39" i="88"/>
  <c r="G21" i="88"/>
  <c r="AJ19" i="88"/>
  <c r="AJ12" i="88"/>
  <c r="AJ10" i="88"/>
  <c r="G41" i="88"/>
  <c r="G17" i="88"/>
  <c r="AJ50" i="88"/>
  <c r="AJ41" i="88"/>
  <c r="AJ25" i="88"/>
  <c r="G12" i="88"/>
  <c r="G44" i="88"/>
  <c r="G31" i="88"/>
  <c r="AJ48" i="88"/>
  <c r="AJ37" i="88"/>
  <c r="AJ21" i="88"/>
  <c r="G13" i="88"/>
  <c r="G23" i="88"/>
  <c r="AJ43" i="88"/>
  <c r="G11" i="88"/>
  <c r="G61" i="88"/>
  <c r="G25" i="88"/>
  <c r="AJ44" i="88"/>
  <c r="AJ33" i="88"/>
  <c r="AJ17" i="88"/>
  <c r="G14" i="88"/>
  <c r="G29" i="88"/>
  <c r="AJ67" i="88"/>
  <c r="AJ35" i="88"/>
  <c r="AJ40" i="88"/>
  <c r="AJ64" i="88"/>
  <c r="AJ9" i="88"/>
  <c r="E7" i="88"/>
  <c r="G34" i="88"/>
  <c r="G19" i="88"/>
  <c r="AJ45" i="88"/>
  <c r="G15" i="88"/>
  <c r="G45" i="88"/>
  <c r="AJ56" i="88"/>
  <c r="AJ26" i="88"/>
  <c r="AJ27" i="88"/>
  <c r="G18" i="88"/>
  <c r="G32" i="88"/>
  <c r="AL11" i="88"/>
  <c r="AJ14" i="88"/>
  <c r="AJ8" i="88"/>
  <c r="G46" i="88"/>
  <c r="G26" i="88"/>
  <c r="AJ61" i="88"/>
  <c r="AJ47" i="88"/>
  <c r="AJ18" i="88"/>
  <c r="G16" i="88"/>
  <c r="E20" i="88"/>
  <c r="G37" i="88"/>
  <c r="G43" i="88"/>
  <c r="AJ49" i="88"/>
  <c r="AJ38" i="88"/>
  <c r="AJ51" i="88"/>
  <c r="AJ15" i="88"/>
  <c r="G40" i="88"/>
  <c r="AJ30" i="88"/>
  <c r="G24" i="88"/>
  <c r="E27" i="88"/>
  <c r="G33" i="88"/>
  <c r="G36" i="88"/>
  <c r="AJ65" i="88"/>
  <c r="AJ34" i="88"/>
  <c r="G38" i="88"/>
  <c r="AK11" i="88"/>
  <c r="AJ58" i="88"/>
  <c r="AJ28" i="88"/>
  <c r="G22" i="88"/>
  <c r="AJ42" i="88"/>
  <c r="AJ24" i="88"/>
  <c r="AJ13" i="88"/>
  <c r="G42" i="88"/>
  <c r="AJ23" i="88"/>
  <c r="AJ52" i="88"/>
  <c r="AK9" i="89"/>
  <c r="AL32" i="89"/>
  <c r="E46" i="89"/>
  <c r="AL39" i="89"/>
  <c r="E48" i="89"/>
  <c r="AL40" i="89"/>
  <c r="AK11" i="89"/>
  <c r="AK44" i="89"/>
  <c r="E39" i="89"/>
  <c r="AK27" i="89"/>
  <c r="E30" i="89"/>
  <c r="AK46" i="89"/>
  <c r="E37" i="89"/>
  <c r="AL37" i="89"/>
  <c r="E35" i="89"/>
  <c r="AK23" i="89"/>
  <c r="E25" i="89"/>
  <c r="AL26" i="89"/>
  <c r="AL49" i="89"/>
  <c r="AK33" i="89"/>
  <c r="E24" i="89"/>
  <c r="AK19" i="89"/>
  <c r="E31" i="89"/>
  <c r="AL22" i="89"/>
  <c r="AL45" i="89"/>
  <c r="AK26" i="89"/>
  <c r="AK49" i="89"/>
  <c r="AL33" i="89"/>
  <c r="E27" i="89"/>
  <c r="AL30" i="89"/>
  <c r="E47" i="89"/>
  <c r="AL20" i="89"/>
  <c r="E16" i="89"/>
  <c r="AK7" i="89"/>
  <c r="AL17" i="89"/>
  <c r="AL61" i="89"/>
  <c r="E14" i="89"/>
  <c r="AL47" i="89"/>
  <c r="AK32" i="89"/>
  <c r="AK39" i="89"/>
  <c r="AL42" i="89"/>
  <c r="AK15" i="89"/>
  <c r="E33" i="89"/>
  <c r="AK29" i="89"/>
  <c r="AK37" i="89"/>
  <c r="E49" i="89"/>
  <c r="E11" i="89"/>
  <c r="AL29" i="89"/>
  <c r="AK40" i="89"/>
  <c r="AL12" i="89"/>
  <c r="E32" i="89"/>
  <c r="AK31" i="89"/>
  <c r="AK28" i="89"/>
  <c r="AL16" i="89"/>
  <c r="E41" i="89"/>
  <c r="AL7" i="89"/>
  <c r="AK17" i="89"/>
  <c r="AL21" i="89"/>
  <c r="AL11" i="89"/>
  <c r="AL44" i="89"/>
  <c r="AL38" i="89"/>
  <c r="E43" i="89"/>
  <c r="AK42" i="89"/>
  <c r="AL34" i="89"/>
  <c r="AK38" i="89"/>
  <c r="E36" i="89"/>
  <c r="E10" i="89"/>
  <c r="AK43" i="89"/>
  <c r="AL27" i="89"/>
  <c r="E23" i="89"/>
  <c r="AL46" i="89"/>
  <c r="E34" i="89"/>
  <c r="AK30" i="89"/>
  <c r="AL15" i="89"/>
  <c r="AL41" i="89"/>
  <c r="E19" i="89"/>
  <c r="AL31" i="89"/>
  <c r="E8" i="89"/>
  <c r="AL28" i="89"/>
  <c r="E13" i="89"/>
  <c r="AL19" i="89"/>
  <c r="E28" i="89"/>
  <c r="AK25" i="89"/>
  <c r="AK47" i="89"/>
  <c r="AK13" i="89"/>
  <c r="AL35" i="89"/>
  <c r="AL14" i="89"/>
  <c r="E18" i="89"/>
  <c r="AK21" i="89"/>
  <c r="E21" i="89"/>
  <c r="E15" i="89"/>
  <c r="AL43" i="89"/>
  <c r="AL13" i="89"/>
  <c r="AK35" i="89"/>
  <c r="AK14" i="89"/>
  <c r="E17" i="89"/>
  <c r="AK16" i="89"/>
  <c r="E38" i="89"/>
  <c r="AK22" i="89"/>
  <c r="AK45" i="89"/>
  <c r="AK48" i="89"/>
  <c r="AK18" i="89"/>
  <c r="AL25" i="89"/>
  <c r="AL9" i="89"/>
  <c r="E44" i="89"/>
  <c r="AK10" i="89"/>
  <c r="AK41" i="89"/>
  <c r="AK24" i="89"/>
  <c r="E12" i="89"/>
  <c r="E40" i="89"/>
  <c r="AK20" i="89"/>
  <c r="AL24" i="89"/>
  <c r="E20" i="89"/>
  <c r="E45" i="89"/>
  <c r="AK34" i="89"/>
  <c r="E29" i="89"/>
  <c r="E9" i="89"/>
  <c r="AL23" i="89"/>
  <c r="E26" i="89"/>
  <c r="AL48" i="89"/>
  <c r="AK61" i="89"/>
  <c r="E22" i="89"/>
  <c r="E61" i="89"/>
  <c r="AK36" i="89"/>
  <c r="AL10" i="89"/>
  <c r="AK12" i="89"/>
  <c r="E42" i="89"/>
  <c r="AL36" i="89"/>
  <c r="AL18" i="89"/>
  <c r="E7" i="89"/>
  <c r="BG11" i="7"/>
  <c r="BG7" i="7"/>
  <c r="S11" i="91" l="1"/>
  <c r="BF10" i="91"/>
  <c r="BI10" i="91"/>
  <c r="BG10" i="91"/>
  <c r="BH10" i="91"/>
  <c r="S10" i="91"/>
  <c r="S12" i="91"/>
  <c r="P8" i="91"/>
  <c r="R5" i="91"/>
  <c r="S14" i="91"/>
  <c r="P9" i="91"/>
  <c r="P11" i="91"/>
  <c r="P12" i="91"/>
  <c r="S9" i="91"/>
  <c r="U5" i="91"/>
  <c r="V14" i="91"/>
  <c r="P14" i="91"/>
  <c r="O5" i="91"/>
  <c r="BD11" i="91"/>
  <c r="BC12" i="91"/>
  <c r="AA14" i="91"/>
  <c r="BG11" i="90"/>
  <c r="BH11" i="90"/>
  <c r="BF11" i="90"/>
  <c r="BI11" i="90"/>
  <c r="BC14" i="90"/>
  <c r="BD13" i="90"/>
  <c r="AA10" i="90"/>
  <c r="BG7" i="90"/>
  <c r="BH7" i="90"/>
  <c r="BF7" i="90"/>
  <c r="BI7" i="90"/>
  <c r="AA12" i="90"/>
  <c r="BG12" i="90"/>
  <c r="BI12" i="90"/>
  <c r="BH12" i="90"/>
  <c r="BF12" i="90"/>
  <c r="O14" i="90"/>
  <c r="P12" i="90" s="1"/>
  <c r="AA8" i="90"/>
  <c r="BG9" i="90"/>
  <c r="BI9" i="90"/>
  <c r="BH9" i="90"/>
  <c r="BF9" i="90"/>
  <c r="AA9" i="90"/>
  <c r="V8" i="90"/>
  <c r="U14" i="90"/>
  <c r="BG8" i="90"/>
  <c r="BF8" i="90"/>
  <c r="BI8" i="90"/>
  <c r="BH8" i="90"/>
  <c r="AA13" i="90"/>
  <c r="P11" i="90"/>
  <c r="AA11" i="90"/>
  <c r="BG10" i="90"/>
  <c r="BI10" i="90"/>
  <c r="BH10" i="90"/>
  <c r="BF10" i="90"/>
  <c r="R14" i="90"/>
  <c r="S10" i="90" s="1"/>
  <c r="S8" i="90"/>
  <c r="BD9" i="89"/>
  <c r="AM45" i="89"/>
  <c r="AM43" i="89"/>
  <c r="AM34" i="89"/>
  <c r="AH20" i="89"/>
  <c r="AG20" i="89"/>
  <c r="AM22" i="89"/>
  <c r="R16" i="89" a="1"/>
  <c r="R16" i="89" s="1"/>
  <c r="O16" i="89" a="1"/>
  <c r="O16" i="89" s="1"/>
  <c r="U16" i="89" a="1"/>
  <c r="U16" i="89" s="1"/>
  <c r="U13" i="89"/>
  <c r="V13" i="89" s="1"/>
  <c r="O12" i="89"/>
  <c r="U11" i="89"/>
  <c r="V11" i="89" s="1"/>
  <c r="O10" i="89"/>
  <c r="U9" i="89"/>
  <c r="V9" i="89" s="1"/>
  <c r="O8" i="89"/>
  <c r="R9" i="89"/>
  <c r="R13" i="89"/>
  <c r="S13" i="89" s="1"/>
  <c r="R11" i="89"/>
  <c r="O13" i="89"/>
  <c r="U12" i="89"/>
  <c r="V12" i="89" s="1"/>
  <c r="O11" i="89"/>
  <c r="U10" i="89"/>
  <c r="V10" i="89" s="1"/>
  <c r="O9" i="89"/>
  <c r="U8" i="89"/>
  <c r="R8" i="89"/>
  <c r="R12" i="89"/>
  <c r="R10" i="89"/>
  <c r="AH12" i="89"/>
  <c r="AG12" i="89"/>
  <c r="AM40" i="89"/>
  <c r="AG30" i="89"/>
  <c r="AH30" i="89"/>
  <c r="AM16" i="89"/>
  <c r="AH18" i="89"/>
  <c r="AG18" i="89"/>
  <c r="AH36" i="89"/>
  <c r="AG36" i="89"/>
  <c r="AH29" i="89"/>
  <c r="AG29" i="89"/>
  <c r="AH33" i="89"/>
  <c r="AG33" i="89"/>
  <c r="AM14" i="89"/>
  <c r="AM49" i="89"/>
  <c r="AM35" i="89"/>
  <c r="AM38" i="89"/>
  <c r="AH24" i="89"/>
  <c r="AG24" i="89"/>
  <c r="AM26" i="89"/>
  <c r="AH13" i="89"/>
  <c r="AG13" i="89"/>
  <c r="AG45" i="89"/>
  <c r="AH45" i="89"/>
  <c r="AH43" i="89"/>
  <c r="AG43" i="89"/>
  <c r="AH34" i="89"/>
  <c r="AG34" i="89"/>
  <c r="AM20" i="89"/>
  <c r="AH22" i="89"/>
  <c r="AG22" i="89"/>
  <c r="AM12" i="89"/>
  <c r="AM42" i="89"/>
  <c r="AM37" i="89"/>
  <c r="AM19" i="89"/>
  <c r="AM21" i="89"/>
  <c r="AH10" i="89"/>
  <c r="AG10" i="89"/>
  <c r="AM36" i="89"/>
  <c r="AM29" i="89"/>
  <c r="AM33" i="89"/>
  <c r="AG14" i="89"/>
  <c r="AH14" i="89"/>
  <c r="AG49" i="89"/>
  <c r="AH49" i="89"/>
  <c r="AH35" i="89"/>
  <c r="AG35" i="89"/>
  <c r="AH38" i="89"/>
  <c r="AG38" i="89"/>
  <c r="AM24" i="89"/>
  <c r="AH26" i="89"/>
  <c r="AG26" i="89"/>
  <c r="AM13" i="89"/>
  <c r="AM47" i="89"/>
  <c r="AH44" i="89"/>
  <c r="AG44" i="89"/>
  <c r="AM41" i="89"/>
  <c r="AM23" i="89"/>
  <c r="AM25" i="89"/>
  <c r="AH11" i="89"/>
  <c r="AG11" i="89"/>
  <c r="AM15" i="89"/>
  <c r="AG42" i="89"/>
  <c r="AH42" i="89"/>
  <c r="AG37" i="89"/>
  <c r="AH37" i="89"/>
  <c r="AH19" i="89"/>
  <c r="AG19" i="89"/>
  <c r="AG21" i="89"/>
  <c r="AH21" i="89"/>
  <c r="AM10" i="89"/>
  <c r="AM61" i="89"/>
  <c r="AM39" i="89"/>
  <c r="AM46" i="89"/>
  <c r="AH28" i="89"/>
  <c r="AG28" i="89"/>
  <c r="AM17" i="89"/>
  <c r="AH48" i="89"/>
  <c r="AG48" i="89"/>
  <c r="AM32" i="89"/>
  <c r="AM27" i="89"/>
  <c r="AH31" i="89"/>
  <c r="AG31" i="89"/>
  <c r="AH7" i="89"/>
  <c r="AG7" i="89"/>
  <c r="AH9" i="89"/>
  <c r="AG9" i="89"/>
  <c r="AH47" i="89"/>
  <c r="AG47" i="89"/>
  <c r="AM44" i="89"/>
  <c r="AG41" i="89"/>
  <c r="AH41" i="89"/>
  <c r="AH23" i="89"/>
  <c r="AG23" i="89"/>
  <c r="AG25" i="89"/>
  <c r="AH25" i="89"/>
  <c r="AM11" i="89"/>
  <c r="AH15" i="89"/>
  <c r="AG15" i="89"/>
  <c r="AH40" i="89"/>
  <c r="AG40" i="89"/>
  <c r="AM30" i="89"/>
  <c r="AH16" i="89"/>
  <c r="AG16" i="89"/>
  <c r="AM18" i="89"/>
  <c r="AH61" i="89"/>
  <c r="AG61" i="89"/>
  <c r="AH39" i="89"/>
  <c r="AG39" i="89"/>
  <c r="AH46" i="89"/>
  <c r="AG46" i="89"/>
  <c r="AM28" i="89"/>
  <c r="AG17" i="89"/>
  <c r="AH17" i="89"/>
  <c r="AM48" i="89"/>
  <c r="AG32" i="89"/>
  <c r="AH32" i="89"/>
  <c r="AH27" i="89"/>
  <c r="AG27" i="89"/>
  <c r="AM31" i="89"/>
  <c r="AM7" i="89"/>
  <c r="AM9" i="89"/>
  <c r="BD10" i="89"/>
  <c r="BC11" i="89"/>
  <c r="BD7" i="89"/>
  <c r="BD8" i="89"/>
  <c r="BG9" i="89"/>
  <c r="BI9" i="89"/>
  <c r="BF9" i="89"/>
  <c r="BH9" i="89"/>
  <c r="C77" i="88"/>
  <c r="Y14" i="88"/>
  <c r="M8" i="88"/>
  <c r="AY62" i="88"/>
  <c r="AY39" i="88"/>
  <c r="AH11" i="88"/>
  <c r="AG11" i="88"/>
  <c r="AL52" i="88"/>
  <c r="AK52" i="88"/>
  <c r="AM52" i="88" s="1"/>
  <c r="AK64" i="88"/>
  <c r="AM64" i="88" s="1"/>
  <c r="AL64" i="88"/>
  <c r="AL67" i="88"/>
  <c r="AK67" i="88"/>
  <c r="AM67" i="88" s="1"/>
  <c r="AL59" i="88"/>
  <c r="AK59" i="88"/>
  <c r="AM59" i="88" s="1"/>
  <c r="AL54" i="88"/>
  <c r="AK54" i="88"/>
  <c r="AM54" i="88" s="1"/>
  <c r="AL65" i="88"/>
  <c r="AK65" i="88"/>
  <c r="AM65" i="88" s="1"/>
  <c r="AL55" i="88"/>
  <c r="AK55" i="88"/>
  <c r="AM55" i="88" s="1"/>
  <c r="AL63" i="88"/>
  <c r="AK63" i="88"/>
  <c r="AM63" i="88" s="1"/>
  <c r="AL53" i="88"/>
  <c r="AK53" i="88"/>
  <c r="AM53" i="88" s="1"/>
  <c r="AL51" i="88"/>
  <c r="AK51" i="88"/>
  <c r="AM51" i="88" s="1"/>
  <c r="AL62" i="88"/>
  <c r="AK62" i="88"/>
  <c r="AM62" i="88" s="1"/>
  <c r="AL56" i="88"/>
  <c r="AK56" i="88"/>
  <c r="AM56" i="88" s="1"/>
  <c r="AL57" i="88"/>
  <c r="AK57" i="88"/>
  <c r="AM57" i="88" s="1"/>
  <c r="AL66" i="88"/>
  <c r="AK66" i="88"/>
  <c r="AM66" i="88" s="1"/>
  <c r="AL58" i="88"/>
  <c r="AK58" i="88"/>
  <c r="AM58" i="88" s="1"/>
  <c r="AL50" i="88"/>
  <c r="AK50" i="88"/>
  <c r="AM50" i="88" s="1"/>
  <c r="AL60" i="88"/>
  <c r="AK60" i="88"/>
  <c r="AM60" i="88" s="1"/>
  <c r="AM11" i="88"/>
  <c r="AY27" i="88"/>
  <c r="AY13" i="88"/>
  <c r="AY35" i="88"/>
  <c r="AY14" i="88"/>
  <c r="AY63" i="88"/>
  <c r="AY28" i="88"/>
  <c r="AY11" i="88"/>
  <c r="AY32" i="88"/>
  <c r="AY59" i="88"/>
  <c r="AY45" i="88"/>
  <c r="AY46" i="88"/>
  <c r="AY26" i="88"/>
  <c r="AY10" i="88"/>
  <c r="AY12" i="88"/>
  <c r="AY9" i="88"/>
  <c r="AY37" i="88"/>
  <c r="AY57" i="88"/>
  <c r="AY43" i="88"/>
  <c r="AY15" i="88"/>
  <c r="AY22" i="88"/>
  <c r="AY8" i="88"/>
  <c r="AY7" i="88"/>
  <c r="AY33" i="88"/>
  <c r="AY49" i="88"/>
  <c r="AY38" i="88"/>
  <c r="AY52" i="88"/>
  <c r="AY48" i="88"/>
  <c r="AY17" i="88"/>
  <c r="AY41" i="88"/>
  <c r="AY19" i="88"/>
  <c r="AY61" i="88"/>
  <c r="AY54" i="88"/>
  <c r="AY18" i="88"/>
  <c r="AY24" i="88"/>
  <c r="AY47" i="88"/>
  <c r="AY56" i="88"/>
  <c r="AY51" i="88"/>
  <c r="AY34" i="88"/>
  <c r="AY20" i="88"/>
  <c r="AY16" i="88"/>
  <c r="AY36" i="88"/>
  <c r="BC10" i="88"/>
  <c r="M14" i="88"/>
  <c r="M13" i="88"/>
  <c r="M12" i="88"/>
  <c r="L5" i="88"/>
  <c r="AY23" i="88"/>
  <c r="M10" i="88"/>
  <c r="AY53" i="88"/>
  <c r="AY60" i="88"/>
  <c r="AY55" i="88"/>
  <c r="AY50" i="88"/>
  <c r="AY30" i="88"/>
  <c r="AY40" i="88"/>
  <c r="AY31" i="88"/>
  <c r="AY21" i="88"/>
  <c r="AY42" i="88"/>
  <c r="AY25" i="88"/>
  <c r="AY29" i="88"/>
  <c r="AY44" i="88"/>
  <c r="AY58" i="88"/>
  <c r="AL8" i="88"/>
  <c r="AL9" i="88"/>
  <c r="AL12" i="88"/>
  <c r="AL20" i="88"/>
  <c r="E32" i="88"/>
  <c r="AL34" i="88"/>
  <c r="AK30" i="88"/>
  <c r="AK46" i="88"/>
  <c r="E15" i="88"/>
  <c r="AL41" i="88"/>
  <c r="E14" i="88"/>
  <c r="E61" i="88"/>
  <c r="AK49" i="88"/>
  <c r="AL61" i="88"/>
  <c r="AL16" i="88"/>
  <c r="AL33" i="88"/>
  <c r="AL13" i="88"/>
  <c r="AK15" i="88"/>
  <c r="AL37" i="88"/>
  <c r="E16" i="88"/>
  <c r="AK41" i="88"/>
  <c r="E25" i="88"/>
  <c r="AL46" i="88"/>
  <c r="E35" i="88"/>
  <c r="E29" i="88"/>
  <c r="AK39" i="88"/>
  <c r="E33" i="88"/>
  <c r="E39" i="88"/>
  <c r="AK42" i="88"/>
  <c r="E37" i="88"/>
  <c r="AL47" i="88"/>
  <c r="AK22" i="88"/>
  <c r="AK29" i="88"/>
  <c r="AK40" i="88"/>
  <c r="AK13" i="88"/>
  <c r="AK24" i="88"/>
  <c r="AL49" i="88"/>
  <c r="AL25" i="88"/>
  <c r="AL36" i="88"/>
  <c r="AK27" i="88"/>
  <c r="AL35" i="88"/>
  <c r="E18" i="88"/>
  <c r="E22" i="88"/>
  <c r="AL24" i="88"/>
  <c r="E8" i="88"/>
  <c r="AK44" i="88"/>
  <c r="AL26" i="88"/>
  <c r="AK18" i="88"/>
  <c r="AK14" i="88"/>
  <c r="AK7" i="88"/>
  <c r="AL32" i="88"/>
  <c r="E30" i="88"/>
  <c r="E49" i="88"/>
  <c r="AK38" i="88"/>
  <c r="E38" i="88"/>
  <c r="E23" i="88"/>
  <c r="E45" i="88"/>
  <c r="E13" i="88"/>
  <c r="AK8" i="88"/>
  <c r="AK9" i="88"/>
  <c r="AK12" i="88"/>
  <c r="AK20" i="88"/>
  <c r="AL22" i="88"/>
  <c r="E10" i="88"/>
  <c r="E47" i="88"/>
  <c r="E40" i="88"/>
  <c r="AL38" i="88"/>
  <c r="AL28" i="88"/>
  <c r="E19" i="88"/>
  <c r="AL40" i="88"/>
  <c r="E11" i="88"/>
  <c r="E44" i="88"/>
  <c r="AL19" i="88"/>
  <c r="AL23" i="88"/>
  <c r="AL44" i="88"/>
  <c r="AK32" i="88"/>
  <c r="AK26" i="88"/>
  <c r="AL48" i="88"/>
  <c r="AK28" i="88"/>
  <c r="E26" i="88"/>
  <c r="AK43" i="88"/>
  <c r="E31" i="88"/>
  <c r="E48" i="88"/>
  <c r="AK16" i="88"/>
  <c r="AK33" i="88"/>
  <c r="E24" i="88"/>
  <c r="AL15" i="88"/>
  <c r="AK37" i="88"/>
  <c r="E12" i="88"/>
  <c r="AK61" i="88"/>
  <c r="AL29" i="88"/>
  <c r="AL14" i="88"/>
  <c r="AK10" i="88"/>
  <c r="AL7" i="88"/>
  <c r="E34" i="88"/>
  <c r="AL18" i="88"/>
  <c r="AL17" i="88"/>
  <c r="AL30" i="88"/>
  <c r="AL21" i="88"/>
  <c r="AK25" i="88"/>
  <c r="E46" i="88"/>
  <c r="AK19" i="88"/>
  <c r="AK23" i="88"/>
  <c r="AL27" i="88"/>
  <c r="AK48" i="88"/>
  <c r="E17" i="88"/>
  <c r="AL10" i="88"/>
  <c r="E21" i="88"/>
  <c r="AK36" i="88"/>
  <c r="E9" i="88"/>
  <c r="AK45" i="88"/>
  <c r="AK34" i="88"/>
  <c r="AK47" i="88"/>
  <c r="AL39" i="88"/>
  <c r="E42" i="88"/>
  <c r="AL42" i="88"/>
  <c r="AL45" i="88"/>
  <c r="E28" i="88"/>
  <c r="AK31" i="88"/>
  <c r="AK35" i="88"/>
  <c r="AK17" i="88"/>
  <c r="E36" i="88"/>
  <c r="AL43" i="88"/>
  <c r="AK21" i="88"/>
  <c r="E43" i="88"/>
  <c r="AL31" i="88"/>
  <c r="E41" i="88"/>
  <c r="BD12" i="91" l="1"/>
  <c r="BC13" i="91"/>
  <c r="BF11" i="91"/>
  <c r="BI11" i="91"/>
  <c r="BH11" i="91"/>
  <c r="BG11" i="91"/>
  <c r="P10" i="90"/>
  <c r="P13" i="90"/>
  <c r="P9" i="90"/>
  <c r="S11" i="90"/>
  <c r="BG13" i="90"/>
  <c r="BI13" i="90"/>
  <c r="BH13" i="90"/>
  <c r="BF13" i="90"/>
  <c r="S12" i="90"/>
  <c r="P14" i="90"/>
  <c r="O5" i="90"/>
  <c r="BD14" i="90"/>
  <c r="BC15" i="90"/>
  <c r="V14" i="90"/>
  <c r="U5" i="90"/>
  <c r="AA14" i="90"/>
  <c r="S14" i="90"/>
  <c r="R5" i="90"/>
  <c r="P8" i="90"/>
  <c r="S9" i="90"/>
  <c r="V8" i="89"/>
  <c r="U14" i="89"/>
  <c r="BG7" i="89"/>
  <c r="BI7" i="89"/>
  <c r="BF7" i="89"/>
  <c r="BH7" i="89"/>
  <c r="BD11" i="89"/>
  <c r="BC12" i="89"/>
  <c r="BG10" i="89"/>
  <c r="BI10" i="89"/>
  <c r="BH10" i="89"/>
  <c r="BF10" i="89"/>
  <c r="AA9" i="89"/>
  <c r="AA12" i="89"/>
  <c r="AA13" i="89"/>
  <c r="O14" i="89"/>
  <c r="P13" i="89" s="1"/>
  <c r="AA8" i="89"/>
  <c r="BG8" i="89"/>
  <c r="BI8" i="89"/>
  <c r="BH8" i="89"/>
  <c r="BF8" i="89"/>
  <c r="R14" i="89"/>
  <c r="S12" i="89" s="1"/>
  <c r="AA11" i="89"/>
  <c r="AA10" i="89"/>
  <c r="AH10" i="88"/>
  <c r="AG10" i="88"/>
  <c r="AH7" i="88"/>
  <c r="AG7" i="88"/>
  <c r="AM10" i="88"/>
  <c r="AH14" i="88"/>
  <c r="AG14" i="88"/>
  <c r="AM20" i="88"/>
  <c r="AM12" i="88"/>
  <c r="AM9" i="88"/>
  <c r="AM8" i="88"/>
  <c r="AM7" i="88"/>
  <c r="AM14" i="88"/>
  <c r="AG20" i="88"/>
  <c r="AH20" i="88"/>
  <c r="AG12" i="88"/>
  <c r="AH12" i="88"/>
  <c r="AH9" i="88"/>
  <c r="AG9" i="88"/>
  <c r="AG8" i="88"/>
  <c r="AH8" i="88"/>
  <c r="BD9" i="88"/>
  <c r="AH29" i="88"/>
  <c r="AG29" i="88"/>
  <c r="AM22" i="88"/>
  <c r="AM61" i="88"/>
  <c r="AH47" i="88"/>
  <c r="AG47" i="88"/>
  <c r="AG31" i="88"/>
  <c r="AH31" i="88"/>
  <c r="AM18" i="88"/>
  <c r="AM48" i="88"/>
  <c r="AM37" i="88"/>
  <c r="AM42" i="88"/>
  <c r="AM21" i="88"/>
  <c r="AG26" i="88"/>
  <c r="AH26" i="88"/>
  <c r="AH15" i="88"/>
  <c r="AG15" i="88"/>
  <c r="AH43" i="88"/>
  <c r="AG43" i="88"/>
  <c r="AG27" i="88"/>
  <c r="AH27" i="88"/>
  <c r="AM44" i="88"/>
  <c r="AM33" i="88"/>
  <c r="AM39" i="88"/>
  <c r="AM17" i="88"/>
  <c r="AM23" i="88"/>
  <c r="AM16" i="88"/>
  <c r="AM35" i="88"/>
  <c r="AM19" i="88"/>
  <c r="AM31" i="88"/>
  <c r="R13" i="88"/>
  <c r="S13" i="88" s="1"/>
  <c r="O13" i="88"/>
  <c r="U9" i="88"/>
  <c r="V9" i="88" s="1"/>
  <c r="O11" i="88"/>
  <c r="O16" i="88" a="1"/>
  <c r="O16" i="88" s="1"/>
  <c r="R16" i="88" a="1"/>
  <c r="R16" i="88" s="1"/>
  <c r="R12" i="88"/>
  <c r="U12" i="88"/>
  <c r="V12" i="88" s="1"/>
  <c r="O8" i="88"/>
  <c r="O10" i="88"/>
  <c r="R9" i="88"/>
  <c r="U16" i="88" a="1"/>
  <c r="U16" i="88" s="1"/>
  <c r="R11" i="88"/>
  <c r="U11" i="88"/>
  <c r="V11" i="88" s="1"/>
  <c r="U13" i="88"/>
  <c r="V13" i="88" s="1"/>
  <c r="O9" i="88"/>
  <c r="R8" i="88"/>
  <c r="R10" i="88"/>
  <c r="U10" i="88"/>
  <c r="V10" i="88" s="1"/>
  <c r="O12" i="88"/>
  <c r="U8" i="88"/>
  <c r="AG46" i="88"/>
  <c r="AH46" i="88"/>
  <c r="AH24" i="88"/>
  <c r="AG24" i="88"/>
  <c r="AM43" i="88"/>
  <c r="AM41" i="88"/>
  <c r="AG45" i="88"/>
  <c r="AH45" i="88"/>
  <c r="AM25" i="88"/>
  <c r="AM28" i="88"/>
  <c r="AH48" i="88"/>
  <c r="AG48" i="88"/>
  <c r="AH37" i="88"/>
  <c r="AG37" i="88"/>
  <c r="AG42" i="88"/>
  <c r="AH42" i="88"/>
  <c r="AH21" i="88"/>
  <c r="AG21" i="88"/>
  <c r="AM26" i="88"/>
  <c r="AM15" i="88"/>
  <c r="AH30" i="88"/>
  <c r="AG30" i="88"/>
  <c r="AM32" i="88"/>
  <c r="AH13" i="88"/>
  <c r="AG13" i="88"/>
  <c r="AH44" i="88"/>
  <c r="AG44" i="88"/>
  <c r="AH33" i="88"/>
  <c r="AG33" i="88"/>
  <c r="AG39" i="88"/>
  <c r="AH39" i="88"/>
  <c r="AH17" i="88"/>
  <c r="AG17" i="88"/>
  <c r="AG23" i="88"/>
  <c r="AH23" i="88"/>
  <c r="AH16" i="88"/>
  <c r="AG16" i="88"/>
  <c r="AG35" i="88"/>
  <c r="AH35" i="88"/>
  <c r="AG19" i="88"/>
  <c r="AH19" i="88"/>
  <c r="AH61" i="88"/>
  <c r="AG61" i="88"/>
  <c r="AM47" i="88"/>
  <c r="AH18" i="88"/>
  <c r="AG18" i="88"/>
  <c r="AM49" i="88"/>
  <c r="AM38" i="88"/>
  <c r="AM27" i="88"/>
  <c r="AM34" i="88"/>
  <c r="AH36" i="88"/>
  <c r="AG36" i="88"/>
  <c r="AH40" i="88"/>
  <c r="AG40" i="88"/>
  <c r="AH41" i="88"/>
  <c r="AG41" i="88"/>
  <c r="AM45" i="88"/>
  <c r="AH25" i="88"/>
  <c r="AG25" i="88"/>
  <c r="AH28" i="88"/>
  <c r="AG28" i="88"/>
  <c r="AH49" i="88"/>
  <c r="AG49" i="88"/>
  <c r="AH38" i="88"/>
  <c r="AG38" i="88"/>
  <c r="AM46" i="88"/>
  <c r="AM24" i="88"/>
  <c r="AM30" i="88"/>
  <c r="AH32" i="88"/>
  <c r="AG32" i="88"/>
  <c r="AM13" i="88"/>
  <c r="AH34" i="88"/>
  <c r="AG34" i="88"/>
  <c r="AM36" i="88"/>
  <c r="AM40" i="88"/>
  <c r="AM29" i="88"/>
  <c r="AH22" i="88"/>
  <c r="AG22" i="88"/>
  <c r="BG9" i="88"/>
  <c r="BF9" i="88"/>
  <c r="BI9" i="88"/>
  <c r="BH9" i="88"/>
  <c r="BC11" i="88"/>
  <c r="BD10" i="88"/>
  <c r="BD7" i="88"/>
  <c r="BD8" i="88"/>
  <c r="BC14" i="91" l="1"/>
  <c r="BD13" i="91"/>
  <c r="BF12" i="91"/>
  <c r="BI12" i="91"/>
  <c r="BH12" i="91"/>
  <c r="BG12" i="91"/>
  <c r="BF14" i="90"/>
  <c r="BI14" i="90"/>
  <c r="BH14" i="90"/>
  <c r="BG14" i="90"/>
  <c r="BC16" i="90"/>
  <c r="BD15" i="90"/>
  <c r="P11" i="89"/>
  <c r="P8" i="89"/>
  <c r="P10" i="89"/>
  <c r="S11" i="89"/>
  <c r="P12" i="89"/>
  <c r="BG11" i="89"/>
  <c r="BI11" i="89"/>
  <c r="BF11" i="89"/>
  <c r="BH11" i="89"/>
  <c r="S14" i="89"/>
  <c r="R5" i="89"/>
  <c r="AA14" i="89"/>
  <c r="S9" i="89"/>
  <c r="S8" i="89"/>
  <c r="P14" i="89"/>
  <c r="O5" i="89"/>
  <c r="S10" i="89"/>
  <c r="P9" i="89"/>
  <c r="V14" i="89"/>
  <c r="U5" i="89"/>
  <c r="BD12" i="89"/>
  <c r="BC13" i="89"/>
  <c r="AA13" i="88"/>
  <c r="BG7" i="88"/>
  <c r="BI7" i="88"/>
  <c r="BF7" i="88"/>
  <c r="BH7" i="88"/>
  <c r="BH10" i="88"/>
  <c r="BG10" i="88"/>
  <c r="BI10" i="88"/>
  <c r="BF10" i="88"/>
  <c r="R14" i="88"/>
  <c r="O14" i="88"/>
  <c r="P13" i="88" s="1"/>
  <c r="AA8" i="88"/>
  <c r="AA11" i="88"/>
  <c r="AA10" i="88"/>
  <c r="V8" i="88"/>
  <c r="U14" i="88"/>
  <c r="BC12" i="88"/>
  <c r="BD11" i="88"/>
  <c r="AA12" i="88"/>
  <c r="P9" i="88"/>
  <c r="AA9" i="88"/>
  <c r="BG8" i="88"/>
  <c r="BF8" i="88"/>
  <c r="BI8" i="88"/>
  <c r="BH8" i="88"/>
  <c r="W12" i="10"/>
  <c r="W11" i="10"/>
  <c r="V14" i="9"/>
  <c r="V13" i="9"/>
  <c r="V12" i="9"/>
  <c r="V11" i="9"/>
  <c r="BI13" i="91" l="1"/>
  <c r="BH13" i="91"/>
  <c r="BG13" i="91"/>
  <c r="BF13" i="91"/>
  <c r="BC15" i="91"/>
  <c r="BD14" i="91"/>
  <c r="W14" i="10"/>
  <c r="W13" i="10" s="1"/>
  <c r="BG15" i="90"/>
  <c r="BF15" i="90"/>
  <c r="BI15" i="90"/>
  <c r="BH15" i="90"/>
  <c r="BD16" i="90"/>
  <c r="BC17" i="90"/>
  <c r="BC14" i="89"/>
  <c r="BD13" i="89"/>
  <c r="BG12" i="89"/>
  <c r="BI12" i="89"/>
  <c r="BH12" i="89"/>
  <c r="BF12" i="89"/>
  <c r="S14" i="88"/>
  <c r="R5" i="88"/>
  <c r="V14" i="88"/>
  <c r="U5" i="88"/>
  <c r="P11" i="88"/>
  <c r="P8" i="88"/>
  <c r="S9" i="88"/>
  <c r="S11" i="88"/>
  <c r="BC13" i="88"/>
  <c r="BD12" i="88"/>
  <c r="P14" i="88"/>
  <c r="O5" i="88"/>
  <c r="S12" i="88"/>
  <c r="P12" i="88"/>
  <c r="S10" i="88"/>
  <c r="BH11" i="88"/>
  <c r="BG11" i="88"/>
  <c r="BF11" i="88"/>
  <c r="BI11" i="88"/>
  <c r="P10" i="88"/>
  <c r="AA14" i="88"/>
  <c r="S8" i="88"/>
  <c r="CF62" i="5"/>
  <c r="CE62" i="5"/>
  <c r="CD62" i="5"/>
  <c r="CF61" i="5"/>
  <c r="CF63" i="5" s="1"/>
  <c r="CE61" i="5"/>
  <c r="CE63" i="5" s="1"/>
  <c r="CD61" i="5"/>
  <c r="CD63" i="5" s="1"/>
  <c r="CG57" i="5"/>
  <c r="CF57" i="5"/>
  <c r="CE57" i="5"/>
  <c r="CD57" i="5"/>
  <c r="CG56" i="5"/>
  <c r="CG58" i="5" s="1"/>
  <c r="CF56" i="5"/>
  <c r="CF58" i="5" s="1"/>
  <c r="CE56" i="5"/>
  <c r="CE58" i="5" s="1"/>
  <c r="CD56" i="5"/>
  <c r="CG47" i="5"/>
  <c r="CF47" i="5"/>
  <c r="CE47" i="5"/>
  <c r="CD47" i="5"/>
  <c r="CG46" i="5"/>
  <c r="CG52" i="5" s="1"/>
  <c r="CF46" i="5"/>
  <c r="CF52" i="5" s="1"/>
  <c r="CE46" i="5"/>
  <c r="CE52" i="5" s="1"/>
  <c r="CD46" i="5"/>
  <c r="CD52" i="5" s="1"/>
  <c r="CG45" i="5"/>
  <c r="CF45" i="5"/>
  <c r="CE45" i="5"/>
  <c r="CD45" i="5"/>
  <c r="CG44" i="5"/>
  <c r="CG51" i="5" s="1"/>
  <c r="CF44" i="5"/>
  <c r="CF51" i="5" s="1"/>
  <c r="CF53" i="5" s="1"/>
  <c r="CE44" i="5"/>
  <c r="CE51" i="5" s="1"/>
  <c r="CE53" i="5" s="1"/>
  <c r="CD44" i="5"/>
  <c r="CD51" i="5" s="1"/>
  <c r="CD53" i="5" s="1"/>
  <c r="CG43" i="5"/>
  <c r="CF43" i="5"/>
  <c r="CE43" i="5"/>
  <c r="CD43" i="5"/>
  <c r="CG42" i="5"/>
  <c r="CG50" i="5" s="1"/>
  <c r="CF42" i="5"/>
  <c r="CF50" i="5" s="1"/>
  <c r="CE42" i="5"/>
  <c r="CE50" i="5" s="1"/>
  <c r="CD42" i="5"/>
  <c r="CD50" i="5" s="1"/>
  <c r="C68" i="87"/>
  <c r="B68" i="87" s="1"/>
  <c r="AH67" i="87"/>
  <c r="AG67" i="87"/>
  <c r="AF67" i="87"/>
  <c r="AH66" i="87"/>
  <c r="AG66" i="87"/>
  <c r="AF66" i="87"/>
  <c r="AH65" i="87"/>
  <c r="AG65" i="87"/>
  <c r="AF65" i="87"/>
  <c r="AH64" i="87"/>
  <c r="AG64" i="87"/>
  <c r="AF64" i="87"/>
  <c r="BI63" i="87"/>
  <c r="BH63" i="87"/>
  <c r="BG63" i="87"/>
  <c r="BF63" i="87"/>
  <c r="AV63" i="87"/>
  <c r="AH63" i="87"/>
  <c r="AG63" i="87"/>
  <c r="AF63" i="87"/>
  <c r="AV62" i="87"/>
  <c r="AH62" i="87"/>
  <c r="AG62" i="87"/>
  <c r="AF62" i="87"/>
  <c r="G62" i="87"/>
  <c r="AV61" i="87"/>
  <c r="AV60" i="87"/>
  <c r="AH60" i="87"/>
  <c r="AG60" i="87"/>
  <c r="AF60" i="87"/>
  <c r="AF61" i="87" s="1"/>
  <c r="G60" i="87"/>
  <c r="E60" i="87" s="1"/>
  <c r="AV59" i="87"/>
  <c r="AH59" i="87"/>
  <c r="AG59" i="87"/>
  <c r="AF59" i="87"/>
  <c r="G59" i="87"/>
  <c r="E59" i="87" s="1"/>
  <c r="AV58" i="87"/>
  <c r="AH58" i="87"/>
  <c r="AG58" i="87"/>
  <c r="AF58" i="87"/>
  <c r="G58" i="87"/>
  <c r="AV57" i="87"/>
  <c r="AH57" i="87"/>
  <c r="AG57" i="87"/>
  <c r="AF57" i="87"/>
  <c r="G57" i="87"/>
  <c r="AV56" i="87"/>
  <c r="AH56" i="87"/>
  <c r="AG56" i="87"/>
  <c r="AF56" i="87"/>
  <c r="G56" i="87"/>
  <c r="AV55" i="87"/>
  <c r="AH55" i="87"/>
  <c r="AG55" i="87"/>
  <c r="AF55" i="87"/>
  <c r="G55" i="87"/>
  <c r="AV54" i="87"/>
  <c r="AH54" i="87"/>
  <c r="AG54" i="87"/>
  <c r="AF54" i="87"/>
  <c r="G54" i="87"/>
  <c r="AV53" i="87"/>
  <c r="AH53" i="87"/>
  <c r="AG53" i="87"/>
  <c r="AF53" i="87"/>
  <c r="G53" i="87"/>
  <c r="AV52" i="87"/>
  <c r="AH52" i="87"/>
  <c r="AG52" i="87"/>
  <c r="AF52" i="87"/>
  <c r="AV51" i="87"/>
  <c r="AH51" i="87"/>
  <c r="AG51" i="87"/>
  <c r="AF51" i="87"/>
  <c r="AV50" i="87"/>
  <c r="AH50" i="87"/>
  <c r="AG50" i="87"/>
  <c r="AF50" i="87"/>
  <c r="AV49" i="87"/>
  <c r="AV48" i="87"/>
  <c r="AV47" i="87"/>
  <c r="AV46" i="87"/>
  <c r="AV45" i="87"/>
  <c r="AV44" i="87"/>
  <c r="AV43" i="87"/>
  <c r="AV42" i="87"/>
  <c r="AV41" i="87"/>
  <c r="AV40" i="87"/>
  <c r="AV39" i="87"/>
  <c r="AV38" i="87"/>
  <c r="AV37" i="87"/>
  <c r="AV36" i="87"/>
  <c r="AV35" i="87"/>
  <c r="AV34" i="87"/>
  <c r="AV33" i="87"/>
  <c r="AV32" i="87"/>
  <c r="AV31" i="87"/>
  <c r="AV30" i="87"/>
  <c r="AV29" i="87"/>
  <c r="AV28" i="87"/>
  <c r="AV27" i="87"/>
  <c r="AV26" i="87"/>
  <c r="AV25" i="87"/>
  <c r="AV24" i="87"/>
  <c r="AV23" i="87"/>
  <c r="AV22" i="87"/>
  <c r="AV21" i="87"/>
  <c r="AV20" i="87"/>
  <c r="AV19" i="87"/>
  <c r="AV18" i="87"/>
  <c r="AV17" i="87"/>
  <c r="AV16" i="87"/>
  <c r="L16" i="87" a="1"/>
  <c r="L16" i="87" s="1"/>
  <c r="AV15" i="87"/>
  <c r="AV14" i="87"/>
  <c r="AV13" i="87"/>
  <c r="L13" i="87"/>
  <c r="AV12" i="87"/>
  <c r="L12" i="87"/>
  <c r="AV11" i="87"/>
  <c r="L11" i="87"/>
  <c r="AV10" i="87"/>
  <c r="L10" i="87"/>
  <c r="AV9" i="87"/>
  <c r="L9" i="87"/>
  <c r="AV8" i="87"/>
  <c r="L8" i="87"/>
  <c r="BC7" i="87"/>
  <c r="BC8" i="87" s="1"/>
  <c r="AV7" i="87"/>
  <c r="AF7" i="87"/>
  <c r="AF8" i="87" s="1"/>
  <c r="AF9" i="87" s="1"/>
  <c r="AF10" i="87" s="1"/>
  <c r="AF11" i="87" s="1"/>
  <c r="AF12" i="87" s="1"/>
  <c r="AF13" i="87" s="1"/>
  <c r="AF14" i="87" s="1"/>
  <c r="AF15" i="87" s="1"/>
  <c r="AF16" i="87" s="1"/>
  <c r="AF17" i="87" s="1"/>
  <c r="AF18" i="87" s="1"/>
  <c r="AF19" i="87" s="1"/>
  <c r="AF20" i="87" s="1"/>
  <c r="AF21" i="87" s="1"/>
  <c r="AF22" i="87" s="1"/>
  <c r="AF23" i="87" s="1"/>
  <c r="AF24" i="87" s="1"/>
  <c r="AF25" i="87" s="1"/>
  <c r="AF26" i="87" s="1"/>
  <c r="AF27" i="87" s="1"/>
  <c r="AF28" i="87" s="1"/>
  <c r="AF29" i="87" s="1"/>
  <c r="AF30" i="87" s="1"/>
  <c r="AF31" i="87" s="1"/>
  <c r="AF32" i="87" s="1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L4" i="87"/>
  <c r="AK4" i="87"/>
  <c r="AK2" i="87" s="1"/>
  <c r="AJ4" i="87"/>
  <c r="AJ2" i="87" s="1"/>
  <c r="G3" i="87"/>
  <c r="AL2" i="87"/>
  <c r="E2" i="87"/>
  <c r="E3" i="87" s="1"/>
  <c r="A1" i="87"/>
  <c r="AJ8" i="87"/>
  <c r="E6" i="87"/>
  <c r="AJ11" i="87"/>
  <c r="AJ12" i="87"/>
  <c r="BH14" i="91" l="1"/>
  <c r="BG14" i="91"/>
  <c r="BF14" i="91"/>
  <c r="BI14" i="91"/>
  <c r="BD15" i="91"/>
  <c r="BC16" i="91"/>
  <c r="BD17" i="90"/>
  <c r="BC18" i="90"/>
  <c r="BI16" i="90"/>
  <c r="BH16" i="90"/>
  <c r="BG16" i="90"/>
  <c r="BF16" i="90"/>
  <c r="BG13" i="89"/>
  <c r="BI13" i="89"/>
  <c r="BF13" i="89"/>
  <c r="BH13" i="89"/>
  <c r="BC15" i="89"/>
  <c r="BD14" i="89"/>
  <c r="BH12" i="88"/>
  <c r="BG12" i="88"/>
  <c r="BI12" i="88"/>
  <c r="BF12" i="88"/>
  <c r="BC14" i="88"/>
  <c r="BD13" i="88"/>
  <c r="CG61" i="5"/>
  <c r="CG62" i="5"/>
  <c r="CG53" i="5"/>
  <c r="CD58" i="5"/>
  <c r="AW61" i="87"/>
  <c r="AX61" i="87" s="1"/>
  <c r="AW53" i="87"/>
  <c r="AX53" i="87" s="1"/>
  <c r="AW48" i="87"/>
  <c r="AX48" i="87" s="1"/>
  <c r="AW43" i="87"/>
  <c r="AX43" i="87" s="1"/>
  <c r="AW55" i="87"/>
  <c r="AX55" i="87" s="1"/>
  <c r="AW50" i="87"/>
  <c r="AX50" i="87" s="1"/>
  <c r="AW49" i="87"/>
  <c r="AX49" i="87" s="1"/>
  <c r="AW40" i="87"/>
  <c r="AX40" i="87" s="1"/>
  <c r="AW62" i="87"/>
  <c r="AW57" i="87"/>
  <c r="AX57" i="87" s="1"/>
  <c r="AW59" i="87"/>
  <c r="AX59" i="87" s="1"/>
  <c r="AW45" i="87"/>
  <c r="AX45" i="87" s="1"/>
  <c r="AW60" i="87"/>
  <c r="AX60" i="87" s="1"/>
  <c r="AW42" i="87"/>
  <c r="AX42" i="87" s="1"/>
  <c r="AW39" i="87"/>
  <c r="AX39" i="87" s="1"/>
  <c r="AW19" i="87"/>
  <c r="AX19" i="87" s="1"/>
  <c r="AW7" i="87"/>
  <c r="AW33" i="87"/>
  <c r="AX33" i="87" s="1"/>
  <c r="AW25" i="87"/>
  <c r="AX25" i="87" s="1"/>
  <c r="AW36" i="87"/>
  <c r="AX36" i="87" s="1"/>
  <c r="AW29" i="87"/>
  <c r="AW22" i="87"/>
  <c r="AX22" i="87" s="1"/>
  <c r="AW18" i="87"/>
  <c r="AX18" i="87" s="1"/>
  <c r="AW15" i="87"/>
  <c r="AX15" i="87" s="1"/>
  <c r="AX7" i="87"/>
  <c r="AW16" i="87"/>
  <c r="AX16" i="87" s="1"/>
  <c r="AW9" i="87"/>
  <c r="AX9" i="87" s="1"/>
  <c r="AW11" i="87"/>
  <c r="AX11" i="87" s="1"/>
  <c r="L14" i="87"/>
  <c r="M13" i="87" s="1"/>
  <c r="AW8" i="87"/>
  <c r="AX8" i="87" s="1"/>
  <c r="BC9" i="87"/>
  <c r="AW10" i="87"/>
  <c r="AX10" i="87" s="1"/>
  <c r="AW12" i="87"/>
  <c r="AW13" i="87"/>
  <c r="AX13" i="87" s="1"/>
  <c r="AX12" i="87"/>
  <c r="AW14" i="87"/>
  <c r="AX14" i="87" s="1"/>
  <c r="AW20" i="87"/>
  <c r="AX20" i="87" s="1"/>
  <c r="AW24" i="87"/>
  <c r="AX24" i="87" s="1"/>
  <c r="AW32" i="87"/>
  <c r="AX32" i="87" s="1"/>
  <c r="AW35" i="87"/>
  <c r="AX35" i="87" s="1"/>
  <c r="AW17" i="87"/>
  <c r="AX17" i="87" s="1"/>
  <c r="AW21" i="87"/>
  <c r="AX21" i="87" s="1"/>
  <c r="AW30" i="87"/>
  <c r="AX30" i="87" s="1"/>
  <c r="AW38" i="87"/>
  <c r="AX38" i="87" s="1"/>
  <c r="AW23" i="87"/>
  <c r="AX23" i="87" s="1"/>
  <c r="AW28" i="87"/>
  <c r="AX28" i="87" s="1"/>
  <c r="AW26" i="87"/>
  <c r="AX26" i="87" s="1"/>
  <c r="AX29" i="87"/>
  <c r="AW34" i="87"/>
  <c r="AX34" i="87" s="1"/>
  <c r="AW44" i="87"/>
  <c r="AX44" i="87" s="1"/>
  <c r="AW27" i="87"/>
  <c r="AX27" i="87" s="1"/>
  <c r="AW31" i="87"/>
  <c r="AX31" i="87" s="1"/>
  <c r="AW37" i="87"/>
  <c r="AX37" i="87" s="1"/>
  <c r="AW47" i="87"/>
  <c r="AX47" i="87" s="1"/>
  <c r="AW51" i="87"/>
  <c r="AX51" i="87" s="1"/>
  <c r="AX62" i="87"/>
  <c r="AW63" i="87"/>
  <c r="AX63" i="87" s="1"/>
  <c r="AW41" i="87"/>
  <c r="AX41" i="87" s="1"/>
  <c r="AW58" i="87"/>
  <c r="AX58" i="87" s="1"/>
  <c r="AW56" i="87"/>
  <c r="AX56" i="87" s="1"/>
  <c r="AW46" i="87"/>
  <c r="AX46" i="87" s="1"/>
  <c r="AW54" i="87"/>
  <c r="AX54" i="87" s="1"/>
  <c r="AW52" i="87"/>
  <c r="AX52" i="87" s="1"/>
  <c r="AJ10" i="87"/>
  <c r="G45" i="87"/>
  <c r="G35" i="87"/>
  <c r="G13" i="87"/>
  <c r="AJ57" i="87"/>
  <c r="AJ39" i="87"/>
  <c r="AJ38" i="87"/>
  <c r="AJ16" i="87"/>
  <c r="AJ58" i="87"/>
  <c r="AJ28" i="87"/>
  <c r="G40" i="87"/>
  <c r="G37" i="87"/>
  <c r="G8" i="87"/>
  <c r="AJ56" i="87"/>
  <c r="AJ33" i="87"/>
  <c r="AJ14" i="87"/>
  <c r="AK12" i="87"/>
  <c r="G25" i="87"/>
  <c r="G24" i="87"/>
  <c r="AL8" i="87"/>
  <c r="G43" i="87"/>
  <c r="G18" i="87"/>
  <c r="G21" i="87"/>
  <c r="AJ45" i="87"/>
  <c r="AJ36" i="87"/>
  <c r="AJ22" i="87"/>
  <c r="AJ53" i="87"/>
  <c r="AJ31" i="87"/>
  <c r="G15" i="87"/>
  <c r="AJ63" i="87"/>
  <c r="AJ37" i="87"/>
  <c r="AJ67" i="87"/>
  <c r="G20" i="87"/>
  <c r="AJ55" i="87"/>
  <c r="AJ35" i="87"/>
  <c r="G47" i="87"/>
  <c r="G11" i="87"/>
  <c r="G41" i="87"/>
  <c r="G14" i="87"/>
  <c r="AJ51" i="87"/>
  <c r="AJ20" i="87"/>
  <c r="AJ17" i="87"/>
  <c r="G34" i="87"/>
  <c r="G19" i="87"/>
  <c r="AJ43" i="87"/>
  <c r="AJ41" i="87"/>
  <c r="AJ49" i="87"/>
  <c r="AJ24" i="87"/>
  <c r="G31" i="87"/>
  <c r="G12" i="87"/>
  <c r="AJ44" i="87"/>
  <c r="AK8" i="87"/>
  <c r="G22" i="87"/>
  <c r="G44" i="87"/>
  <c r="G10" i="87"/>
  <c r="AJ50" i="87"/>
  <c r="AJ27" i="87"/>
  <c r="AJ29" i="87"/>
  <c r="G39" i="87"/>
  <c r="G46" i="87"/>
  <c r="G9" i="87"/>
  <c r="AJ64" i="87"/>
  <c r="AJ47" i="87"/>
  <c r="AJ54" i="87"/>
  <c r="AJ9" i="87"/>
  <c r="AJ40" i="87"/>
  <c r="AL11" i="87"/>
  <c r="G29" i="87"/>
  <c r="G32" i="87"/>
  <c r="AJ62" i="87"/>
  <c r="AJ42" i="87"/>
  <c r="AJ34" i="87"/>
  <c r="AJ19" i="87"/>
  <c r="G61" i="87"/>
  <c r="G26" i="87"/>
  <c r="G16" i="87"/>
  <c r="AL12" i="87"/>
  <c r="G38" i="87"/>
  <c r="G23" i="87"/>
  <c r="AJ7" i="87"/>
  <c r="AJ46" i="87"/>
  <c r="AJ25" i="87"/>
  <c r="AJ13" i="87"/>
  <c r="AJ48" i="87"/>
  <c r="AJ15" i="87"/>
  <c r="AK11" i="87"/>
  <c r="G33" i="87"/>
  <c r="G17" i="87"/>
  <c r="AJ18" i="87"/>
  <c r="AJ30" i="87"/>
  <c r="G30" i="87"/>
  <c r="AJ65" i="87"/>
  <c r="AJ21" i="87"/>
  <c r="G27" i="87"/>
  <c r="G49" i="87"/>
  <c r="AJ60" i="87"/>
  <c r="AJ26" i="87"/>
  <c r="AJ59" i="87"/>
  <c r="AJ66" i="87"/>
  <c r="AJ23" i="87"/>
  <c r="G42" i="87"/>
  <c r="AJ61" i="87"/>
  <c r="AJ32" i="87"/>
  <c r="G36" i="87"/>
  <c r="G28" i="87"/>
  <c r="G48" i="87"/>
  <c r="AJ52" i="87"/>
  <c r="G7" i="87"/>
  <c r="BC17" i="91" l="1"/>
  <c r="BD16" i="91"/>
  <c r="BI15" i="91"/>
  <c r="BH15" i="91"/>
  <c r="BG15" i="91"/>
  <c r="BF15" i="91"/>
  <c r="BC19" i="90"/>
  <c r="BD18" i="90"/>
  <c r="BF17" i="90"/>
  <c r="BI17" i="90"/>
  <c r="BH17" i="90"/>
  <c r="BG17" i="90"/>
  <c r="BF14" i="89"/>
  <c r="BI14" i="89"/>
  <c r="BH14" i="89"/>
  <c r="BG14" i="89"/>
  <c r="BC16" i="89"/>
  <c r="BD15" i="89"/>
  <c r="CG63" i="5"/>
  <c r="BH13" i="88"/>
  <c r="BG13" i="88"/>
  <c r="BI13" i="88"/>
  <c r="BF13" i="88"/>
  <c r="BC15" i="88"/>
  <c r="BD14" i="88"/>
  <c r="AY56" i="87"/>
  <c r="AY52" i="87"/>
  <c r="AL59" i="87"/>
  <c r="AK59" i="87"/>
  <c r="AM59" i="87" s="1"/>
  <c r="AL53" i="87"/>
  <c r="AK53" i="87"/>
  <c r="AM53" i="87" s="1"/>
  <c r="AL52" i="87"/>
  <c r="AK52" i="87"/>
  <c r="AM52" i="87" s="1"/>
  <c r="AL51" i="87"/>
  <c r="AK51" i="87"/>
  <c r="AM51" i="87" s="1"/>
  <c r="AK50" i="87"/>
  <c r="AM50" i="87" s="1"/>
  <c r="AL50" i="87"/>
  <c r="AL60" i="87"/>
  <c r="AK60" i="87"/>
  <c r="AM60" i="87" s="1"/>
  <c r="AH12" i="87"/>
  <c r="AG12" i="87"/>
  <c r="AH8" i="87"/>
  <c r="AG8" i="87"/>
  <c r="AM12" i="87"/>
  <c r="AM8" i="87"/>
  <c r="AL65" i="87"/>
  <c r="AK65" i="87"/>
  <c r="AM65" i="87" s="1"/>
  <c r="AL56" i="87"/>
  <c r="AK56" i="87"/>
  <c r="AM56" i="87" s="1"/>
  <c r="AK55" i="87"/>
  <c r="AM55" i="87" s="1"/>
  <c r="AL55" i="87"/>
  <c r="AL62" i="87"/>
  <c r="AK62" i="87"/>
  <c r="AM62" i="87" s="1"/>
  <c r="AH11" i="87"/>
  <c r="AG11" i="87"/>
  <c r="AL58" i="87"/>
  <c r="AK58" i="87"/>
  <c r="AM58" i="87" s="1"/>
  <c r="AK67" i="87"/>
  <c r="AM67" i="87" s="1"/>
  <c r="AL67" i="87"/>
  <c r="AL54" i="87"/>
  <c r="AK54" i="87"/>
  <c r="AM54" i="87" s="1"/>
  <c r="AL63" i="87"/>
  <c r="AK63" i="87"/>
  <c r="AM63" i="87" s="1"/>
  <c r="AL64" i="87"/>
  <c r="AK64" i="87"/>
  <c r="AM64" i="87" s="1"/>
  <c r="AL57" i="87"/>
  <c r="AK57" i="87"/>
  <c r="AM57" i="87" s="1"/>
  <c r="AL66" i="87"/>
  <c r="AK66" i="87"/>
  <c r="AM66" i="87" s="1"/>
  <c r="AM11" i="87"/>
  <c r="AY54" i="87"/>
  <c r="AY21" i="87"/>
  <c r="AY41" i="87"/>
  <c r="AY17" i="87"/>
  <c r="AY9" i="87"/>
  <c r="AY51" i="87"/>
  <c r="AY27" i="87"/>
  <c r="AY35" i="87"/>
  <c r="AY44" i="87"/>
  <c r="AY38" i="87"/>
  <c r="AY32" i="87"/>
  <c r="AY22" i="87"/>
  <c r="AY42" i="87"/>
  <c r="AY47" i="87"/>
  <c r="AY58" i="87"/>
  <c r="AY24" i="87"/>
  <c r="AY10" i="87"/>
  <c r="AY11" i="87"/>
  <c r="AY63" i="87"/>
  <c r="AY28" i="87"/>
  <c r="AY12" i="87"/>
  <c r="M9" i="87"/>
  <c r="AY16" i="87"/>
  <c r="AY50" i="87"/>
  <c r="AY43" i="87"/>
  <c r="AY34" i="87"/>
  <c r="AY25" i="87"/>
  <c r="M12" i="87"/>
  <c r="C77" i="87"/>
  <c r="AY18" i="87"/>
  <c r="AY39" i="87"/>
  <c r="AY49" i="87"/>
  <c r="AY48" i="87"/>
  <c r="AY53" i="87"/>
  <c r="AY29" i="87"/>
  <c r="AY30" i="87"/>
  <c r="AY13" i="87"/>
  <c r="BC10" i="87"/>
  <c r="Y14" i="87"/>
  <c r="M10" i="87"/>
  <c r="AY7" i="87"/>
  <c r="AY60" i="87"/>
  <c r="AY55" i="87"/>
  <c r="AY61" i="87"/>
  <c r="AY31" i="87"/>
  <c r="AY33" i="87"/>
  <c r="AY23" i="87"/>
  <c r="AY14" i="87"/>
  <c r="M14" i="87"/>
  <c r="L5" i="87"/>
  <c r="AY15" i="87"/>
  <c r="AY57" i="87"/>
  <c r="AY59" i="87"/>
  <c r="AY62" i="87"/>
  <c r="AY46" i="87"/>
  <c r="AY37" i="87"/>
  <c r="AY26" i="87"/>
  <c r="AY20" i="87"/>
  <c r="AY8" i="87"/>
  <c r="M8" i="87"/>
  <c r="M11" i="87"/>
  <c r="AY36" i="87"/>
  <c r="AY19" i="87"/>
  <c r="AY45" i="87"/>
  <c r="AY40" i="87"/>
  <c r="AL10" i="87"/>
  <c r="AL17" i="87"/>
  <c r="AL26" i="87"/>
  <c r="E48" i="87"/>
  <c r="E61" i="87"/>
  <c r="AK33" i="87"/>
  <c r="AK24" i="87"/>
  <c r="AK23" i="87"/>
  <c r="E19" i="87"/>
  <c r="AK26" i="87"/>
  <c r="E8" i="87"/>
  <c r="E13" i="87"/>
  <c r="AL27" i="87"/>
  <c r="E14" i="87"/>
  <c r="E25" i="87"/>
  <c r="AL44" i="87"/>
  <c r="E30" i="87"/>
  <c r="AL18" i="87"/>
  <c r="E17" i="87"/>
  <c r="AL45" i="87"/>
  <c r="AL35" i="87"/>
  <c r="AL23" i="87"/>
  <c r="AL29" i="87"/>
  <c r="AK27" i="87"/>
  <c r="E23" i="87"/>
  <c r="E36" i="87"/>
  <c r="AK44" i="87"/>
  <c r="E29" i="87"/>
  <c r="AK18" i="87"/>
  <c r="E9" i="87"/>
  <c r="AL22" i="87"/>
  <c r="AL33" i="87"/>
  <c r="AK22" i="87"/>
  <c r="E26" i="87"/>
  <c r="AL9" i="87"/>
  <c r="AL20" i="87"/>
  <c r="AK13" i="87"/>
  <c r="AK34" i="87"/>
  <c r="E20" i="87"/>
  <c r="AL21" i="87"/>
  <c r="AL13" i="87"/>
  <c r="AL34" i="87"/>
  <c r="AK16" i="87"/>
  <c r="AK29" i="87"/>
  <c r="AK10" i="87"/>
  <c r="AL31" i="87"/>
  <c r="AK36" i="87"/>
  <c r="E44" i="87"/>
  <c r="AK21" i="87"/>
  <c r="E12" i="87"/>
  <c r="AL40" i="87"/>
  <c r="AK41" i="87"/>
  <c r="E34" i="87"/>
  <c r="E43" i="87"/>
  <c r="AK9" i="87"/>
  <c r="AK17" i="87"/>
  <c r="AL25" i="87"/>
  <c r="E41" i="87"/>
  <c r="AK19" i="87"/>
  <c r="AL42" i="87"/>
  <c r="AL28" i="87"/>
  <c r="AL38" i="87"/>
  <c r="E15" i="87"/>
  <c r="E18" i="87"/>
  <c r="E37" i="87"/>
  <c r="AL47" i="87"/>
  <c r="AL48" i="87"/>
  <c r="AK25" i="87"/>
  <c r="E38" i="87"/>
  <c r="AL19" i="87"/>
  <c r="AK42" i="87"/>
  <c r="AK28" i="87"/>
  <c r="AK38" i="87"/>
  <c r="E46" i="87"/>
  <c r="AL36" i="87"/>
  <c r="E40" i="87"/>
  <c r="E10" i="87"/>
  <c r="E42" i="87"/>
  <c r="AL43" i="87"/>
  <c r="E24" i="87"/>
  <c r="AL39" i="87"/>
  <c r="AK40" i="87"/>
  <c r="AL7" i="87"/>
  <c r="E32" i="87"/>
  <c r="E47" i="87"/>
  <c r="AK20" i="87"/>
  <c r="AK45" i="87"/>
  <c r="E16" i="87"/>
  <c r="AK14" i="87"/>
  <c r="E31" i="87"/>
  <c r="AK49" i="87"/>
  <c r="AK47" i="87"/>
  <c r="AK48" i="87"/>
  <c r="E27" i="87"/>
  <c r="AL41" i="87"/>
  <c r="AK31" i="87"/>
  <c r="AK46" i="87"/>
  <c r="E49" i="87"/>
  <c r="AL32" i="87"/>
  <c r="AK61" i="87"/>
  <c r="AK30" i="87"/>
  <c r="AK37" i="87"/>
  <c r="E33" i="87"/>
  <c r="E11" i="87"/>
  <c r="AL24" i="87"/>
  <c r="E45" i="87"/>
  <c r="E7" i="87"/>
  <c r="AL46" i="87"/>
  <c r="E28" i="87"/>
  <c r="AK32" i="87"/>
  <c r="AL61" i="87"/>
  <c r="AL30" i="87"/>
  <c r="AL37" i="87"/>
  <c r="E39" i="87"/>
  <c r="E21" i="87"/>
  <c r="AL49" i="87"/>
  <c r="AK35" i="87"/>
  <c r="AK43" i="87"/>
  <c r="AL14" i="87"/>
  <c r="AK7" i="87"/>
  <c r="AL16" i="87"/>
  <c r="AL15" i="87"/>
  <c r="AK15" i="87"/>
  <c r="E22" i="87"/>
  <c r="AK39" i="87"/>
  <c r="E35" i="87"/>
  <c r="BG16" i="91" l="1"/>
  <c r="BF16" i="91"/>
  <c r="BI16" i="91"/>
  <c r="BH16" i="91"/>
  <c r="BC18" i="91"/>
  <c r="BD17" i="91"/>
  <c r="BG18" i="90"/>
  <c r="BF18" i="90"/>
  <c r="BI18" i="90"/>
  <c r="BH18" i="90"/>
  <c r="BC20" i="90"/>
  <c r="BD19" i="90"/>
  <c r="AM10" i="87"/>
  <c r="AG10" i="87"/>
  <c r="AH10" i="87"/>
  <c r="BH15" i="89"/>
  <c r="BG15" i="89"/>
  <c r="BF15" i="89"/>
  <c r="BI15" i="89"/>
  <c r="BD16" i="89"/>
  <c r="BC17" i="89"/>
  <c r="BG14" i="88"/>
  <c r="BF14" i="88"/>
  <c r="BH14" i="88"/>
  <c r="BI14" i="88"/>
  <c r="BD15" i="88"/>
  <c r="BC16" i="88"/>
  <c r="AH49" i="87"/>
  <c r="AG49" i="87"/>
  <c r="AH33" i="87"/>
  <c r="AG33" i="87"/>
  <c r="AH36" i="87"/>
  <c r="AG36" i="87"/>
  <c r="AH22" i="87"/>
  <c r="AG22" i="87"/>
  <c r="AM29" i="87"/>
  <c r="AM39" i="87"/>
  <c r="AH37" i="87"/>
  <c r="AG37" i="87"/>
  <c r="AM38" i="87"/>
  <c r="AM18" i="87"/>
  <c r="AM16" i="87"/>
  <c r="AH30" i="87"/>
  <c r="AG30" i="87"/>
  <c r="AM28" i="87"/>
  <c r="AH61" i="87"/>
  <c r="AG61" i="87"/>
  <c r="AM42" i="87"/>
  <c r="AM44" i="87"/>
  <c r="AH34" i="87"/>
  <c r="AG34" i="87"/>
  <c r="AM32" i="87"/>
  <c r="AH19" i="87"/>
  <c r="AG19" i="87"/>
  <c r="AH7" i="87"/>
  <c r="AG7" i="87"/>
  <c r="AH46" i="87"/>
  <c r="AG46" i="87"/>
  <c r="AM25" i="87"/>
  <c r="AM27" i="87"/>
  <c r="AH13" i="87"/>
  <c r="AG13" i="87"/>
  <c r="R16" i="87" a="1"/>
  <c r="R16" i="87" s="1"/>
  <c r="U13" i="87"/>
  <c r="V13" i="87" s="1"/>
  <c r="O12" i="87"/>
  <c r="U11" i="87"/>
  <c r="V11" i="87" s="1"/>
  <c r="O10" i="87"/>
  <c r="U9" i="87"/>
  <c r="V9" i="87" s="1"/>
  <c r="O8" i="87"/>
  <c r="R13" i="87"/>
  <c r="S13" i="87" s="1"/>
  <c r="R9" i="87"/>
  <c r="R10" i="87"/>
  <c r="U16" i="87" a="1"/>
  <c r="U16" i="87" s="1"/>
  <c r="R11" i="87"/>
  <c r="R8" i="87"/>
  <c r="O16" i="87" a="1"/>
  <c r="O16" i="87" s="1"/>
  <c r="O13" i="87"/>
  <c r="U12" i="87"/>
  <c r="V12" i="87" s="1"/>
  <c r="O11" i="87"/>
  <c r="U10" i="87"/>
  <c r="V10" i="87" s="1"/>
  <c r="O9" i="87"/>
  <c r="U8" i="87"/>
  <c r="R12" i="87"/>
  <c r="AH48" i="87"/>
  <c r="AG48" i="87"/>
  <c r="AH29" i="87"/>
  <c r="AG29" i="87"/>
  <c r="AM15" i="87"/>
  <c r="AG47" i="87"/>
  <c r="AH47" i="87"/>
  <c r="AH23" i="87"/>
  <c r="AG23" i="87"/>
  <c r="AM40" i="87"/>
  <c r="AH24" i="87"/>
  <c r="AG24" i="87"/>
  <c r="AG35" i="87"/>
  <c r="AH35" i="87"/>
  <c r="AH21" i="87"/>
  <c r="AG21" i="87"/>
  <c r="AH45" i="87"/>
  <c r="AG45" i="87"/>
  <c r="AH15" i="87"/>
  <c r="AG15" i="87"/>
  <c r="AH39" i="87"/>
  <c r="AG39" i="87"/>
  <c r="AM37" i="87"/>
  <c r="AG38" i="87"/>
  <c r="AH38" i="87"/>
  <c r="AH18" i="87"/>
  <c r="AG18" i="87"/>
  <c r="AG16" i="87"/>
  <c r="AH16" i="87"/>
  <c r="AM30" i="87"/>
  <c r="AH28" i="87"/>
  <c r="AG28" i="87"/>
  <c r="AM61" i="87"/>
  <c r="AH42" i="87"/>
  <c r="AG42" i="87"/>
  <c r="AH44" i="87"/>
  <c r="AG44" i="87"/>
  <c r="AM34" i="87"/>
  <c r="AH32" i="87"/>
  <c r="AG32" i="87"/>
  <c r="AM19" i="87"/>
  <c r="AM7" i="87"/>
  <c r="AM46" i="87"/>
  <c r="AH25" i="87"/>
  <c r="AG25" i="87"/>
  <c r="AG27" i="87"/>
  <c r="AH27" i="87"/>
  <c r="AM13" i="87"/>
  <c r="AM31" i="87"/>
  <c r="AM17" i="87"/>
  <c r="AG43" i="87"/>
  <c r="AH43" i="87"/>
  <c r="AH41" i="87"/>
  <c r="AG41" i="87"/>
  <c r="AM9" i="87"/>
  <c r="AH14" i="87"/>
  <c r="AG14" i="87"/>
  <c r="AM26" i="87"/>
  <c r="AG20" i="87"/>
  <c r="AH20" i="87"/>
  <c r="AM48" i="87"/>
  <c r="AM43" i="87"/>
  <c r="AM47" i="87"/>
  <c r="AM41" i="87"/>
  <c r="AM23" i="87"/>
  <c r="AH9" i="87"/>
  <c r="AG9" i="87"/>
  <c r="AM49" i="87"/>
  <c r="AG40" i="87"/>
  <c r="AH40" i="87"/>
  <c r="AM24" i="87"/>
  <c r="AM33" i="87"/>
  <c r="AM35" i="87"/>
  <c r="AM14" i="87"/>
  <c r="AM21" i="87"/>
  <c r="AM45" i="87"/>
  <c r="AM36" i="87"/>
  <c r="AH26" i="87"/>
  <c r="AG26" i="87"/>
  <c r="AM22" i="87"/>
  <c r="AM20" i="87"/>
  <c r="AG31" i="87"/>
  <c r="AH31" i="87"/>
  <c r="AH17" i="87"/>
  <c r="AG17" i="87"/>
  <c r="BD7" i="87"/>
  <c r="BD8" i="87"/>
  <c r="BD9" i="87"/>
  <c r="BD10" i="87"/>
  <c r="BC11" i="87"/>
  <c r="BF17" i="91" l="1"/>
  <c r="BG17" i="91"/>
  <c r="BI17" i="91"/>
  <c r="BH17" i="91"/>
  <c r="BC19" i="91"/>
  <c r="BD18" i="91"/>
  <c r="BH19" i="90"/>
  <c r="BG19" i="90"/>
  <c r="BF19" i="90"/>
  <c r="BI19" i="90"/>
  <c r="BD20" i="90"/>
  <c r="BC21" i="90"/>
  <c r="BD17" i="89"/>
  <c r="BC18" i="89"/>
  <c r="BI16" i="89"/>
  <c r="BH16" i="89"/>
  <c r="BG16" i="89"/>
  <c r="BF16" i="89"/>
  <c r="BC17" i="88"/>
  <c r="BD16" i="88"/>
  <c r="BI15" i="88"/>
  <c r="BG15" i="88"/>
  <c r="BF15" i="88"/>
  <c r="BH15" i="88"/>
  <c r="AA11" i="87"/>
  <c r="AA10" i="87"/>
  <c r="BI8" i="87"/>
  <c r="BG8" i="87"/>
  <c r="BH8" i="87"/>
  <c r="BF8" i="87"/>
  <c r="V8" i="87"/>
  <c r="U14" i="87"/>
  <c r="BI9" i="87"/>
  <c r="BG9" i="87"/>
  <c r="BF9" i="87"/>
  <c r="BH9" i="87"/>
  <c r="R14" i="87"/>
  <c r="S11" i="87" s="1"/>
  <c r="BI7" i="87"/>
  <c r="BG7" i="87"/>
  <c r="BF7" i="87"/>
  <c r="BH7" i="87"/>
  <c r="AA9" i="87"/>
  <c r="AA13" i="87"/>
  <c r="O14" i="87"/>
  <c r="AA8" i="87"/>
  <c r="AA12" i="87"/>
  <c r="S9" i="87"/>
  <c r="BD11" i="87"/>
  <c r="BC12" i="87"/>
  <c r="BI10" i="87"/>
  <c r="BG10" i="87"/>
  <c r="BH10" i="87"/>
  <c r="BF10" i="87"/>
  <c r="S10" i="87"/>
  <c r="BG18" i="91" l="1"/>
  <c r="BI18" i="91"/>
  <c r="BH18" i="91"/>
  <c r="BF18" i="91"/>
  <c r="BD19" i="91"/>
  <c r="BC20" i="91"/>
  <c r="BD21" i="90"/>
  <c r="BC22" i="90"/>
  <c r="BI20" i="90"/>
  <c r="BH20" i="90"/>
  <c r="BG20" i="90"/>
  <c r="BF20" i="90"/>
  <c r="BC19" i="89"/>
  <c r="BD18" i="89"/>
  <c r="BF17" i="89"/>
  <c r="BI17" i="89"/>
  <c r="BH17" i="89"/>
  <c r="BG17" i="89"/>
  <c r="BG16" i="88"/>
  <c r="BF16" i="88"/>
  <c r="BI16" i="88"/>
  <c r="BH16" i="88"/>
  <c r="BC18" i="88"/>
  <c r="BD17" i="88"/>
  <c r="S12" i="87"/>
  <c r="P14" i="87"/>
  <c r="O5" i="87"/>
  <c r="P8" i="87"/>
  <c r="P9" i="87"/>
  <c r="P10" i="87"/>
  <c r="BD12" i="87"/>
  <c r="BC13" i="87"/>
  <c r="P12" i="87"/>
  <c r="P13" i="87"/>
  <c r="S14" i="87"/>
  <c r="R5" i="87"/>
  <c r="U5" i="87"/>
  <c r="V14" i="87"/>
  <c r="BI11" i="87"/>
  <c r="BG11" i="87"/>
  <c r="BF11" i="87"/>
  <c r="BH11" i="87"/>
  <c r="AA14" i="87"/>
  <c r="S8" i="87"/>
  <c r="P11" i="87"/>
  <c r="BH19" i="91" l="1"/>
  <c r="BI19" i="91"/>
  <c r="BG19" i="91"/>
  <c r="BF19" i="91"/>
  <c r="BD20" i="91"/>
  <c r="BC21" i="91"/>
  <c r="BC23" i="90"/>
  <c r="BD22" i="90"/>
  <c r="BF21" i="90"/>
  <c r="BI21" i="90"/>
  <c r="BH21" i="90"/>
  <c r="BG21" i="90"/>
  <c r="BG18" i="89"/>
  <c r="BF18" i="89"/>
  <c r="BI18" i="89"/>
  <c r="BH18" i="89"/>
  <c r="BC20" i="89"/>
  <c r="BD19" i="89"/>
  <c r="BH17" i="88"/>
  <c r="BG17" i="88"/>
  <c r="BF17" i="88"/>
  <c r="BI17" i="88"/>
  <c r="BD18" i="88"/>
  <c r="BC19" i="88"/>
  <c r="BC14" i="87"/>
  <c r="BD13" i="87"/>
  <c r="BI12" i="87"/>
  <c r="BG12" i="87"/>
  <c r="BH12" i="87"/>
  <c r="BF12" i="87"/>
  <c r="BC22" i="91" l="1"/>
  <c r="BD21" i="91"/>
  <c r="BI20" i="91"/>
  <c r="BG20" i="91"/>
  <c r="BF20" i="91"/>
  <c r="BH20" i="91"/>
  <c r="BH22" i="90"/>
  <c r="BG22" i="90"/>
  <c r="BF22" i="90"/>
  <c r="BI22" i="90"/>
  <c r="BD23" i="90"/>
  <c r="BC24" i="90"/>
  <c r="BH19" i="89"/>
  <c r="BG19" i="89"/>
  <c r="BF19" i="89"/>
  <c r="BI19" i="89"/>
  <c r="BD20" i="89"/>
  <c r="BC21" i="89"/>
  <c r="BD19" i="88"/>
  <c r="BC20" i="88"/>
  <c r="BI18" i="88"/>
  <c r="BH18" i="88"/>
  <c r="BG18" i="88"/>
  <c r="BF18" i="88"/>
  <c r="BI13" i="87"/>
  <c r="BH13" i="87"/>
  <c r="BG13" i="87"/>
  <c r="BF13" i="87"/>
  <c r="BC15" i="87"/>
  <c r="BD14" i="87"/>
  <c r="BF21" i="91" l="1"/>
  <c r="BI21" i="91"/>
  <c r="BH21" i="91"/>
  <c r="BG21" i="91"/>
  <c r="BC23" i="91"/>
  <c r="BD22" i="91"/>
  <c r="BD24" i="90"/>
  <c r="BC25" i="90"/>
  <c r="BI23" i="90"/>
  <c r="BH23" i="90"/>
  <c r="BG23" i="90"/>
  <c r="BF23" i="90"/>
  <c r="BD21" i="89"/>
  <c r="BC22" i="89"/>
  <c r="BI20" i="89"/>
  <c r="BH20" i="89"/>
  <c r="BG20" i="89"/>
  <c r="BF20" i="89"/>
  <c r="BC21" i="88"/>
  <c r="BD20" i="88"/>
  <c r="BF19" i="88"/>
  <c r="BI19" i="88"/>
  <c r="BH19" i="88"/>
  <c r="BG19" i="88"/>
  <c r="BH14" i="87"/>
  <c r="BG14" i="87"/>
  <c r="BF14" i="87"/>
  <c r="BI14" i="87"/>
  <c r="BD15" i="87"/>
  <c r="BC16" i="87"/>
  <c r="BG22" i="91" l="1"/>
  <c r="BF22" i="91"/>
  <c r="BI22" i="91"/>
  <c r="BH22" i="91"/>
  <c r="BC24" i="91"/>
  <c r="BD23" i="91"/>
  <c r="BC26" i="90"/>
  <c r="BD25" i="90"/>
  <c r="BF24" i="90"/>
  <c r="BI24" i="90"/>
  <c r="BG24" i="90"/>
  <c r="BH24" i="90"/>
  <c r="BC23" i="89"/>
  <c r="BD22" i="89"/>
  <c r="BF21" i="89"/>
  <c r="BI21" i="89"/>
  <c r="BH21" i="89"/>
  <c r="BG21" i="89"/>
  <c r="BG20" i="88"/>
  <c r="BF20" i="88"/>
  <c r="BI20" i="88"/>
  <c r="BH20" i="88"/>
  <c r="BC22" i="88"/>
  <c r="BD21" i="88"/>
  <c r="BD16" i="87"/>
  <c r="BC17" i="87"/>
  <c r="BI15" i="87"/>
  <c r="BH15" i="87"/>
  <c r="BG15" i="87"/>
  <c r="BF15" i="87"/>
  <c r="BH23" i="91" l="1"/>
  <c r="BG23" i="91"/>
  <c r="BF23" i="91"/>
  <c r="BI23" i="91"/>
  <c r="BD24" i="91"/>
  <c r="BC25" i="91"/>
  <c r="BG25" i="90"/>
  <c r="BF25" i="90"/>
  <c r="BI25" i="90"/>
  <c r="BH25" i="90"/>
  <c r="BC27" i="90"/>
  <c r="BD26" i="90"/>
  <c r="BG22" i="89"/>
  <c r="BF22" i="89"/>
  <c r="BI22" i="89"/>
  <c r="BH22" i="89"/>
  <c r="BC24" i="89"/>
  <c r="BD23" i="89"/>
  <c r="BH21" i="88"/>
  <c r="BG21" i="88"/>
  <c r="BF21" i="88"/>
  <c r="BI21" i="88"/>
  <c r="BD22" i="88"/>
  <c r="BC23" i="88"/>
  <c r="BC18" i="87"/>
  <c r="BD17" i="87"/>
  <c r="BF16" i="87"/>
  <c r="BI16" i="87"/>
  <c r="BH16" i="87"/>
  <c r="BG16" i="87"/>
  <c r="BD25" i="91" l="1"/>
  <c r="BC26" i="91"/>
  <c r="BI24" i="91"/>
  <c r="BH24" i="91"/>
  <c r="BG24" i="91"/>
  <c r="BF24" i="91"/>
  <c r="BH26" i="90"/>
  <c r="BG26" i="90"/>
  <c r="BF26" i="90"/>
  <c r="BI26" i="90"/>
  <c r="BD27" i="90"/>
  <c r="BC28" i="90"/>
  <c r="BD24" i="89"/>
  <c r="BC25" i="89"/>
  <c r="BH23" i="89"/>
  <c r="BG23" i="89"/>
  <c r="BF23" i="89"/>
  <c r="BI23" i="89"/>
  <c r="BD23" i="88"/>
  <c r="BC24" i="88"/>
  <c r="BI22" i="88"/>
  <c r="BH22" i="88"/>
  <c r="BG22" i="88"/>
  <c r="BF22" i="88"/>
  <c r="BG17" i="87"/>
  <c r="BF17" i="87"/>
  <c r="BI17" i="87"/>
  <c r="BH17" i="87"/>
  <c r="BC19" i="87"/>
  <c r="BD18" i="87"/>
  <c r="BC27" i="91" l="1"/>
  <c r="BD26" i="91"/>
  <c r="BI25" i="91"/>
  <c r="BH25" i="91"/>
  <c r="BG25" i="91"/>
  <c r="BF25" i="91"/>
  <c r="BD28" i="90"/>
  <c r="BC29" i="90"/>
  <c r="BI27" i="90"/>
  <c r="BH27" i="90"/>
  <c r="BG27" i="90"/>
  <c r="BF27" i="90"/>
  <c r="BD25" i="89"/>
  <c r="BC26" i="89"/>
  <c r="BI24" i="89"/>
  <c r="BH24" i="89"/>
  <c r="BG24" i="89"/>
  <c r="BF24" i="89"/>
  <c r="BC25" i="88"/>
  <c r="BD24" i="88"/>
  <c r="BF23" i="88"/>
  <c r="BI23" i="88"/>
  <c r="BH23" i="88"/>
  <c r="BG23" i="88"/>
  <c r="BH18" i="87"/>
  <c r="BG18" i="87"/>
  <c r="BF18" i="87"/>
  <c r="BI18" i="87"/>
  <c r="BD19" i="87"/>
  <c r="BC20" i="87"/>
  <c r="BF26" i="91" l="1"/>
  <c r="BI26" i="91"/>
  <c r="BH26" i="91"/>
  <c r="BG26" i="91"/>
  <c r="BC28" i="91"/>
  <c r="BD27" i="91"/>
  <c r="BC30" i="90"/>
  <c r="BD29" i="90"/>
  <c r="BF28" i="90"/>
  <c r="BI28" i="90"/>
  <c r="BH28" i="90"/>
  <c r="BG28" i="90"/>
  <c r="BC27" i="89"/>
  <c r="BD26" i="89"/>
  <c r="BF25" i="89"/>
  <c r="BI25" i="89"/>
  <c r="BH25" i="89"/>
  <c r="BG25" i="89"/>
  <c r="BG24" i="88"/>
  <c r="BF24" i="88"/>
  <c r="BI24" i="88"/>
  <c r="BH24" i="88"/>
  <c r="BC26" i="88"/>
  <c r="BD25" i="88"/>
  <c r="BD20" i="87"/>
  <c r="BC21" i="87"/>
  <c r="BI19" i="87"/>
  <c r="BH19" i="87"/>
  <c r="BG19" i="87"/>
  <c r="BF19" i="87"/>
  <c r="BD28" i="91" l="1"/>
  <c r="BC29" i="91"/>
  <c r="BH27" i="91"/>
  <c r="BG27" i="91"/>
  <c r="BI27" i="91"/>
  <c r="BF27" i="91"/>
  <c r="BG29" i="90"/>
  <c r="BF29" i="90"/>
  <c r="BI29" i="90"/>
  <c r="BH29" i="90"/>
  <c r="BC31" i="90"/>
  <c r="BD30" i="90"/>
  <c r="BG26" i="89"/>
  <c r="BF26" i="89"/>
  <c r="BI26" i="89"/>
  <c r="BH26" i="89"/>
  <c r="BC28" i="89"/>
  <c r="BD27" i="89"/>
  <c r="BH25" i="88"/>
  <c r="BG25" i="88"/>
  <c r="BF25" i="88"/>
  <c r="BI25" i="88"/>
  <c r="BD26" i="88"/>
  <c r="BC27" i="88"/>
  <c r="BC22" i="87"/>
  <c r="BD21" i="87"/>
  <c r="BF20" i="87"/>
  <c r="BI20" i="87"/>
  <c r="BH20" i="87"/>
  <c r="BG20" i="87"/>
  <c r="BD29" i="91" l="1"/>
  <c r="BC30" i="91"/>
  <c r="BI28" i="91"/>
  <c r="BH28" i="91"/>
  <c r="BF28" i="91"/>
  <c r="BG28" i="91"/>
  <c r="BH30" i="90"/>
  <c r="BG30" i="90"/>
  <c r="BF30" i="90"/>
  <c r="BI30" i="90"/>
  <c r="BD31" i="90"/>
  <c r="BC32" i="90"/>
  <c r="BH27" i="89"/>
  <c r="BG27" i="89"/>
  <c r="BF27" i="89"/>
  <c r="BI27" i="89"/>
  <c r="BD28" i="89"/>
  <c r="BC29" i="89"/>
  <c r="BC28" i="88"/>
  <c r="BD27" i="88"/>
  <c r="BI26" i="88"/>
  <c r="BH26" i="88"/>
  <c r="BG26" i="88"/>
  <c r="BF26" i="88"/>
  <c r="BG21" i="87"/>
  <c r="BF21" i="87"/>
  <c r="BI21" i="87"/>
  <c r="BH21" i="87"/>
  <c r="BC23" i="87"/>
  <c r="BD22" i="87"/>
  <c r="BC31" i="91" l="1"/>
  <c r="BD30" i="91"/>
  <c r="BF29" i="91"/>
  <c r="BI29" i="91"/>
  <c r="BH29" i="91"/>
  <c r="BG29" i="91"/>
  <c r="BD32" i="90"/>
  <c r="BC33" i="90"/>
  <c r="BI31" i="90"/>
  <c r="BH31" i="90"/>
  <c r="BG31" i="90"/>
  <c r="BF31" i="90"/>
  <c r="BD29" i="89"/>
  <c r="BC30" i="89"/>
  <c r="BH28" i="89"/>
  <c r="BI28" i="89"/>
  <c r="BG28" i="89"/>
  <c r="BF28" i="89"/>
  <c r="BF27" i="88"/>
  <c r="BG27" i="88"/>
  <c r="BI27" i="88"/>
  <c r="BH27" i="88"/>
  <c r="BC29" i="88"/>
  <c r="BD28" i="88"/>
  <c r="BH22" i="87"/>
  <c r="BG22" i="87"/>
  <c r="BF22" i="87"/>
  <c r="BI22" i="87"/>
  <c r="BC24" i="87"/>
  <c r="BD23" i="87"/>
  <c r="BG30" i="91" l="1"/>
  <c r="BF30" i="91"/>
  <c r="BH30" i="91"/>
  <c r="BI30" i="91"/>
  <c r="BC32" i="91"/>
  <c r="BD31" i="91"/>
  <c r="BC34" i="90"/>
  <c r="BD33" i="90"/>
  <c r="BF32" i="90"/>
  <c r="BI32" i="90"/>
  <c r="BH32" i="90"/>
  <c r="BG32" i="90"/>
  <c r="BC31" i="89"/>
  <c r="BD30" i="89"/>
  <c r="BI29" i="89"/>
  <c r="BG29" i="89"/>
  <c r="BH29" i="89"/>
  <c r="BF29" i="89"/>
  <c r="BG28" i="88"/>
  <c r="BI28" i="88"/>
  <c r="BH28" i="88"/>
  <c r="BF28" i="88"/>
  <c r="BC30" i="88"/>
  <c r="BD29" i="88"/>
  <c r="BF23" i="87"/>
  <c r="BI23" i="87"/>
  <c r="BH23" i="87"/>
  <c r="BG23" i="87"/>
  <c r="BC25" i="87"/>
  <c r="BD24" i="87"/>
  <c r="BH31" i="91" l="1"/>
  <c r="BG31" i="91"/>
  <c r="BI31" i="91"/>
  <c r="BF31" i="91"/>
  <c r="BD32" i="91"/>
  <c r="BC33" i="91"/>
  <c r="BG33" i="90"/>
  <c r="BF33" i="90"/>
  <c r="BI33" i="90"/>
  <c r="BH33" i="90"/>
  <c r="BD34" i="90"/>
  <c r="BC35" i="90"/>
  <c r="BF30" i="89"/>
  <c r="BH30" i="89"/>
  <c r="BI30" i="89"/>
  <c r="BG30" i="89"/>
  <c r="BC32" i="89"/>
  <c r="BD31" i="89"/>
  <c r="BH29" i="88"/>
  <c r="BG29" i="88"/>
  <c r="BF29" i="88"/>
  <c r="BI29" i="88"/>
  <c r="BD30" i="88"/>
  <c r="BC31" i="88"/>
  <c r="BG24" i="87"/>
  <c r="BF24" i="87"/>
  <c r="BI24" i="87"/>
  <c r="BH24" i="87"/>
  <c r="BC26" i="87"/>
  <c r="BD25" i="87"/>
  <c r="BD33" i="91" l="1"/>
  <c r="BC34" i="91"/>
  <c r="BI32" i="91"/>
  <c r="BH32" i="91"/>
  <c r="BF32" i="91"/>
  <c r="BG32" i="91"/>
  <c r="BH34" i="90"/>
  <c r="BI34" i="90"/>
  <c r="BG34" i="90"/>
  <c r="BF34" i="90"/>
  <c r="BD35" i="90"/>
  <c r="BC36" i="90"/>
  <c r="BC33" i="89"/>
  <c r="BD32" i="89"/>
  <c r="BG31" i="89"/>
  <c r="BI31" i="89"/>
  <c r="BH31" i="89"/>
  <c r="BF31" i="89"/>
  <c r="BD31" i="88"/>
  <c r="BC32" i="88"/>
  <c r="BI30" i="88"/>
  <c r="BH30" i="88"/>
  <c r="BG30" i="88"/>
  <c r="BF30" i="88"/>
  <c r="BH25" i="87"/>
  <c r="BG25" i="87"/>
  <c r="BF25" i="87"/>
  <c r="BI25" i="87"/>
  <c r="BD26" i="87"/>
  <c r="BC27" i="87"/>
  <c r="BC35" i="91" l="1"/>
  <c r="BD34" i="91"/>
  <c r="BF33" i="91"/>
  <c r="BI33" i="91"/>
  <c r="BH33" i="91"/>
  <c r="BG33" i="91"/>
  <c r="BC37" i="90"/>
  <c r="BD36" i="90"/>
  <c r="BI35" i="90"/>
  <c r="BG35" i="90"/>
  <c r="BF35" i="90"/>
  <c r="BH35" i="90"/>
  <c r="BH32" i="89"/>
  <c r="BF32" i="89"/>
  <c r="BI32" i="89"/>
  <c r="BG32" i="89"/>
  <c r="BD33" i="89"/>
  <c r="BC34" i="89"/>
  <c r="BC33" i="88"/>
  <c r="BD32" i="88"/>
  <c r="BF31" i="88"/>
  <c r="BI31" i="88"/>
  <c r="BH31" i="88"/>
  <c r="BG31" i="88"/>
  <c r="BD27" i="87"/>
  <c r="BC28" i="87"/>
  <c r="BI26" i="87"/>
  <c r="BH26" i="87"/>
  <c r="BG26" i="87"/>
  <c r="BF26" i="87"/>
  <c r="BG34" i="91" l="1"/>
  <c r="BF34" i="91"/>
  <c r="BH34" i="91"/>
  <c r="BI34" i="91"/>
  <c r="BC36" i="91"/>
  <c r="BD35" i="91"/>
  <c r="BG36" i="90"/>
  <c r="BF36" i="90"/>
  <c r="BI36" i="90"/>
  <c r="BH36" i="90"/>
  <c r="BC38" i="90"/>
  <c r="BD37" i="90"/>
  <c r="BC35" i="89"/>
  <c r="BD34" i="89"/>
  <c r="BI33" i="89"/>
  <c r="BG33" i="89"/>
  <c r="BH33" i="89"/>
  <c r="BF33" i="89"/>
  <c r="BG32" i="88"/>
  <c r="BF32" i="88"/>
  <c r="BI32" i="88"/>
  <c r="BH32" i="88"/>
  <c r="BC34" i="88"/>
  <c r="BD33" i="88"/>
  <c r="BC29" i="87"/>
  <c r="BD28" i="87"/>
  <c r="BF27" i="87"/>
  <c r="BI27" i="87"/>
  <c r="BH27" i="87"/>
  <c r="BG27" i="87"/>
  <c r="BH35" i="91" l="1"/>
  <c r="BG35" i="91"/>
  <c r="BI35" i="91"/>
  <c r="BF35" i="91"/>
  <c r="BD36" i="91"/>
  <c r="BC37" i="91"/>
  <c r="BH37" i="90"/>
  <c r="BG37" i="90"/>
  <c r="BI37" i="90"/>
  <c r="BF37" i="90"/>
  <c r="BD38" i="90"/>
  <c r="BC39" i="90"/>
  <c r="BG34" i="89"/>
  <c r="BF34" i="89"/>
  <c r="BI34" i="89"/>
  <c r="BH34" i="89"/>
  <c r="BC36" i="89"/>
  <c r="BD35" i="89"/>
  <c r="BH33" i="88"/>
  <c r="BG33" i="88"/>
  <c r="BF33" i="88"/>
  <c r="BI33" i="88"/>
  <c r="BD34" i="88"/>
  <c r="BC35" i="88"/>
  <c r="BG28" i="87"/>
  <c r="BF28" i="87"/>
  <c r="BI28" i="87"/>
  <c r="BH28" i="87"/>
  <c r="BC30" i="87"/>
  <c r="BD29" i="87"/>
  <c r="BD37" i="91" l="1"/>
  <c r="BC38" i="91"/>
  <c r="BI36" i="91"/>
  <c r="BH36" i="91"/>
  <c r="BF36" i="91"/>
  <c r="BG36" i="91"/>
  <c r="BD39" i="90"/>
  <c r="BC40" i="90"/>
  <c r="BI38" i="90"/>
  <c r="BH38" i="90"/>
  <c r="BG38" i="90"/>
  <c r="BF38" i="90"/>
  <c r="BD36" i="89"/>
  <c r="BC37" i="89"/>
  <c r="BH35" i="89"/>
  <c r="BG35" i="89"/>
  <c r="BF35" i="89"/>
  <c r="BI35" i="89"/>
  <c r="BI34" i="88"/>
  <c r="BH34" i="88"/>
  <c r="BG34" i="88"/>
  <c r="BF34" i="88"/>
  <c r="BD35" i="88"/>
  <c r="BC36" i="88"/>
  <c r="BH29" i="87"/>
  <c r="BG29" i="87"/>
  <c r="BF29" i="87"/>
  <c r="BI29" i="87"/>
  <c r="BD30" i="87"/>
  <c r="BC31" i="87"/>
  <c r="BC39" i="91" l="1"/>
  <c r="BD38" i="91"/>
  <c r="BF37" i="91"/>
  <c r="BI37" i="91"/>
  <c r="BH37" i="91"/>
  <c r="BG37" i="91"/>
  <c r="BC41" i="90"/>
  <c r="BD40" i="90"/>
  <c r="BF39" i="90"/>
  <c r="BI39" i="90"/>
  <c r="BH39" i="90"/>
  <c r="BG39" i="90"/>
  <c r="BD37" i="89"/>
  <c r="BC38" i="89"/>
  <c r="BI36" i="89"/>
  <c r="BH36" i="89"/>
  <c r="BG36" i="89"/>
  <c r="BF36" i="89"/>
  <c r="BC37" i="88"/>
  <c r="BD36" i="88"/>
  <c r="BF35" i="88"/>
  <c r="BI35" i="88"/>
  <c r="BH35" i="88"/>
  <c r="BG35" i="88"/>
  <c r="BD31" i="87"/>
  <c r="BC32" i="87"/>
  <c r="BI30" i="87"/>
  <c r="BH30" i="87"/>
  <c r="BG30" i="87"/>
  <c r="BF30" i="87"/>
  <c r="BG38" i="91" l="1"/>
  <c r="BF38" i="91"/>
  <c r="BH38" i="91"/>
  <c r="BI38" i="91"/>
  <c r="BC40" i="91"/>
  <c r="BD39" i="91"/>
  <c r="BG40" i="90"/>
  <c r="BF40" i="90"/>
  <c r="BI40" i="90"/>
  <c r="BH40" i="90"/>
  <c r="BC42" i="90"/>
  <c r="BD41" i="90"/>
  <c r="BC39" i="89"/>
  <c r="BD38" i="89"/>
  <c r="BF37" i="89"/>
  <c r="BI37" i="89"/>
  <c r="BH37" i="89"/>
  <c r="BG37" i="89"/>
  <c r="BG36" i="88"/>
  <c r="BF36" i="88"/>
  <c r="BI36" i="88"/>
  <c r="BH36" i="88"/>
  <c r="BC38" i="88"/>
  <c r="BD37" i="88"/>
  <c r="BC33" i="87"/>
  <c r="BD32" i="87"/>
  <c r="BF31" i="87"/>
  <c r="BI31" i="87"/>
  <c r="BH31" i="87"/>
  <c r="BG31" i="87"/>
  <c r="BH39" i="91" l="1"/>
  <c r="BG39" i="91"/>
  <c r="BI39" i="91"/>
  <c r="BF39" i="91"/>
  <c r="BD40" i="91"/>
  <c r="BC41" i="91"/>
  <c r="BH41" i="90"/>
  <c r="BG41" i="90"/>
  <c r="BI41" i="90"/>
  <c r="BF41" i="90"/>
  <c r="BD42" i="90"/>
  <c r="BC43" i="90"/>
  <c r="BG38" i="89"/>
  <c r="BF38" i="89"/>
  <c r="BI38" i="89"/>
  <c r="BH38" i="89"/>
  <c r="BC40" i="89"/>
  <c r="BD39" i="89"/>
  <c r="BH37" i="88"/>
  <c r="BG37" i="88"/>
  <c r="BF37" i="88"/>
  <c r="BI37" i="88"/>
  <c r="BD38" i="88"/>
  <c r="BC39" i="88"/>
  <c r="BG32" i="87"/>
  <c r="BF32" i="87"/>
  <c r="BI32" i="87"/>
  <c r="BH32" i="87"/>
  <c r="BC34" i="87"/>
  <c r="BD33" i="87"/>
  <c r="BC42" i="91" l="1"/>
  <c r="BD41" i="91"/>
  <c r="BI40" i="91"/>
  <c r="BH40" i="91"/>
  <c r="BF40" i="91"/>
  <c r="BG40" i="91"/>
  <c r="BC44" i="90"/>
  <c r="BD43" i="90"/>
  <c r="BF42" i="90"/>
  <c r="BI42" i="90"/>
  <c r="BH42" i="90"/>
  <c r="BG42" i="90"/>
  <c r="BH39" i="89"/>
  <c r="BG39" i="89"/>
  <c r="BF39" i="89"/>
  <c r="BI39" i="89"/>
  <c r="BD40" i="89"/>
  <c r="BC41" i="89"/>
  <c r="BI38" i="88"/>
  <c r="BH38" i="88"/>
  <c r="BG38" i="88"/>
  <c r="BF38" i="88"/>
  <c r="BD39" i="88"/>
  <c r="BC40" i="88"/>
  <c r="BH33" i="87"/>
  <c r="BG33" i="87"/>
  <c r="BF33" i="87"/>
  <c r="BI33" i="87"/>
  <c r="BC35" i="87"/>
  <c r="BD34" i="87"/>
  <c r="BF41" i="91" l="1"/>
  <c r="BI41" i="91"/>
  <c r="BH41" i="91"/>
  <c r="BG41" i="91"/>
  <c r="BC43" i="91"/>
  <c r="BD42" i="91"/>
  <c r="BG43" i="90"/>
  <c r="BH43" i="90"/>
  <c r="BF43" i="90"/>
  <c r="BI43" i="90"/>
  <c r="BC45" i="90"/>
  <c r="BD44" i="90"/>
  <c r="BD41" i="89"/>
  <c r="BC42" i="89"/>
  <c r="BI40" i="89"/>
  <c r="BH40" i="89"/>
  <c r="BG40" i="89"/>
  <c r="BF40" i="89"/>
  <c r="BC41" i="88"/>
  <c r="BD40" i="88"/>
  <c r="BF39" i="88"/>
  <c r="BI39" i="88"/>
  <c r="BH39" i="88"/>
  <c r="BG39" i="88"/>
  <c r="BI34" i="87"/>
  <c r="BH34" i="87"/>
  <c r="BG34" i="87"/>
  <c r="BF34" i="87"/>
  <c r="BC36" i="87"/>
  <c r="BD35" i="87"/>
  <c r="BG42" i="91" l="1"/>
  <c r="BI42" i="91"/>
  <c r="BH42" i="91"/>
  <c r="BF42" i="91"/>
  <c r="BC44" i="91"/>
  <c r="BD43" i="91"/>
  <c r="BH44" i="90"/>
  <c r="BI44" i="90"/>
  <c r="BG44" i="90"/>
  <c r="BF44" i="90"/>
  <c r="BD45" i="90"/>
  <c r="BC46" i="90"/>
  <c r="BC43" i="89"/>
  <c r="BD42" i="89"/>
  <c r="BF41" i="89"/>
  <c r="BI41" i="89"/>
  <c r="BH41" i="89"/>
  <c r="BG41" i="89"/>
  <c r="BG40" i="88"/>
  <c r="BF40" i="88"/>
  <c r="BI40" i="88"/>
  <c r="BH40" i="88"/>
  <c r="BC42" i="88"/>
  <c r="BD41" i="88"/>
  <c r="BG35" i="87"/>
  <c r="BI35" i="87"/>
  <c r="BH35" i="87"/>
  <c r="BF35" i="87"/>
  <c r="BD36" i="87"/>
  <c r="BC37" i="87"/>
  <c r="BG43" i="91" l="1"/>
  <c r="BH43" i="91"/>
  <c r="BI43" i="91"/>
  <c r="BF43" i="91"/>
  <c r="BC45" i="91"/>
  <c r="BD44" i="91"/>
  <c r="BC47" i="90"/>
  <c r="BD46" i="90"/>
  <c r="BI45" i="90"/>
  <c r="BF45" i="90"/>
  <c r="BH45" i="90"/>
  <c r="BG45" i="90"/>
  <c r="BF42" i="89"/>
  <c r="BI42" i="89"/>
  <c r="BH42" i="89"/>
  <c r="BG42" i="89"/>
  <c r="BC44" i="89"/>
  <c r="BD43" i="89"/>
  <c r="BH41" i="88"/>
  <c r="BG41" i="88"/>
  <c r="BF41" i="88"/>
  <c r="BI41" i="88"/>
  <c r="BC43" i="88"/>
  <c r="BD42" i="88"/>
  <c r="BH36" i="87"/>
  <c r="BI36" i="87"/>
  <c r="BG36" i="87"/>
  <c r="BF36" i="87"/>
  <c r="BD37" i="87"/>
  <c r="BC38" i="87"/>
  <c r="BH44" i="91" l="1"/>
  <c r="BG44" i="91"/>
  <c r="BI44" i="91"/>
  <c r="BF44" i="91"/>
  <c r="BD45" i="91"/>
  <c r="BC46" i="91"/>
  <c r="BF46" i="90"/>
  <c r="BH46" i="90"/>
  <c r="BG46" i="90"/>
  <c r="BI46" i="90"/>
  <c r="BC48" i="90"/>
  <c r="BD47" i="90"/>
  <c r="BH43" i="89"/>
  <c r="BG43" i="89"/>
  <c r="BF43" i="89"/>
  <c r="BI43" i="89"/>
  <c r="BD44" i="89"/>
  <c r="BC45" i="89"/>
  <c r="BF42" i="88"/>
  <c r="BI42" i="88"/>
  <c r="BH42" i="88"/>
  <c r="BG42" i="88"/>
  <c r="BC44" i="88"/>
  <c r="BD43" i="88"/>
  <c r="BC39" i="87"/>
  <c r="BD38" i="87"/>
  <c r="BI37" i="87"/>
  <c r="BG37" i="87"/>
  <c r="BF37" i="87"/>
  <c r="BH37" i="87"/>
  <c r="BD46" i="91" l="1"/>
  <c r="BC47" i="91"/>
  <c r="BI45" i="91"/>
  <c r="BH45" i="91"/>
  <c r="BF45" i="91"/>
  <c r="BG45" i="91"/>
  <c r="BG47" i="90"/>
  <c r="BI47" i="90"/>
  <c r="BH47" i="90"/>
  <c r="BF47" i="90"/>
  <c r="BD48" i="90"/>
  <c r="BC49" i="90"/>
  <c r="BI44" i="89"/>
  <c r="BH44" i="89"/>
  <c r="BG44" i="89"/>
  <c r="BF44" i="89"/>
  <c r="BD45" i="89"/>
  <c r="BC46" i="89"/>
  <c r="BG43" i="88"/>
  <c r="BF43" i="88"/>
  <c r="BI43" i="88"/>
  <c r="BH43" i="88"/>
  <c r="BC45" i="88"/>
  <c r="BD44" i="88"/>
  <c r="BF38" i="87"/>
  <c r="BI38" i="87"/>
  <c r="BH38" i="87"/>
  <c r="BG38" i="87"/>
  <c r="BC40" i="87"/>
  <c r="BD39" i="87"/>
  <c r="BC48" i="91" l="1"/>
  <c r="BD47" i="91"/>
  <c r="BF46" i="91"/>
  <c r="BI46" i="91"/>
  <c r="BH46" i="91"/>
  <c r="BG46" i="91"/>
  <c r="BC50" i="90"/>
  <c r="BD49" i="90"/>
  <c r="BH48" i="90"/>
  <c r="BF48" i="90"/>
  <c r="BI48" i="90"/>
  <c r="BG48" i="90"/>
  <c r="BF45" i="89"/>
  <c r="BI45" i="89"/>
  <c r="BH45" i="89"/>
  <c r="BG45" i="89"/>
  <c r="BC47" i="89"/>
  <c r="BD46" i="89"/>
  <c r="BH44" i="88"/>
  <c r="BG44" i="88"/>
  <c r="BF44" i="88"/>
  <c r="BI44" i="88"/>
  <c r="BD45" i="88"/>
  <c r="BC46" i="88"/>
  <c r="BH39" i="87"/>
  <c r="BG39" i="87"/>
  <c r="BI39" i="87"/>
  <c r="BF39" i="87"/>
  <c r="BD40" i="87"/>
  <c r="BC41" i="87"/>
  <c r="BG47" i="91" l="1"/>
  <c r="BF47" i="91"/>
  <c r="BI47" i="91"/>
  <c r="BH47" i="91"/>
  <c r="BC49" i="91"/>
  <c r="BD48" i="91"/>
  <c r="BI49" i="90"/>
  <c r="BH49" i="90"/>
  <c r="BG49" i="90"/>
  <c r="BF49" i="90"/>
  <c r="BC51" i="90"/>
  <c r="BD50" i="90"/>
  <c r="BC48" i="89"/>
  <c r="BD47" i="89"/>
  <c r="BG46" i="89"/>
  <c r="BF46" i="89"/>
  <c r="BI46" i="89"/>
  <c r="BH46" i="89"/>
  <c r="BI45" i="88"/>
  <c r="BH45" i="88"/>
  <c r="BF45" i="88"/>
  <c r="BG45" i="88"/>
  <c r="BD46" i="88"/>
  <c r="BC47" i="88"/>
  <c r="BC42" i="87"/>
  <c r="BD41" i="87"/>
  <c r="BI40" i="87"/>
  <c r="BH40" i="87"/>
  <c r="BG40" i="87"/>
  <c r="BF40" i="87"/>
  <c r="BH48" i="91" l="1"/>
  <c r="BG48" i="91"/>
  <c r="BF48" i="91"/>
  <c r="BI48" i="91"/>
  <c r="BC50" i="91"/>
  <c r="BD49" i="91"/>
  <c r="BH50" i="90"/>
  <c r="BF50" i="90"/>
  <c r="BI50" i="90"/>
  <c r="BG50" i="90"/>
  <c r="BC52" i="90"/>
  <c r="BD51" i="90"/>
  <c r="BH47" i="89"/>
  <c r="BG47" i="89"/>
  <c r="BF47" i="89"/>
  <c r="BI47" i="89"/>
  <c r="BD48" i="89"/>
  <c r="BC49" i="89"/>
  <c r="BC48" i="88"/>
  <c r="BD47" i="88"/>
  <c r="BF46" i="88"/>
  <c r="BI46" i="88"/>
  <c r="BH46" i="88"/>
  <c r="BG46" i="88"/>
  <c r="BG41" i="87"/>
  <c r="BF41" i="87"/>
  <c r="BI41" i="87"/>
  <c r="BH41" i="87"/>
  <c r="BD42" i="87"/>
  <c r="BC43" i="87"/>
  <c r="BI49" i="91" l="1"/>
  <c r="BH49" i="91"/>
  <c r="BG49" i="91"/>
  <c r="BF49" i="91"/>
  <c r="BC51" i="91"/>
  <c r="BD50" i="91"/>
  <c r="BC53" i="90"/>
  <c r="BD52" i="90"/>
  <c r="BC50" i="89"/>
  <c r="BD49" i="89"/>
  <c r="BI48" i="89"/>
  <c r="BH48" i="89"/>
  <c r="BG48" i="89"/>
  <c r="BF48" i="89"/>
  <c r="BG47" i="88"/>
  <c r="BF47" i="88"/>
  <c r="BI47" i="88"/>
  <c r="BH47" i="88"/>
  <c r="BC49" i="88"/>
  <c r="BD48" i="88"/>
  <c r="BI42" i="87"/>
  <c r="BH42" i="87"/>
  <c r="BG42" i="87"/>
  <c r="BF42" i="87"/>
  <c r="BC44" i="87"/>
  <c r="BD43" i="87"/>
  <c r="BH50" i="91" l="1"/>
  <c r="BG50" i="91"/>
  <c r="BF50" i="91"/>
  <c r="BI50" i="91"/>
  <c r="BC52" i="91"/>
  <c r="BD51" i="91"/>
  <c r="BG51" i="90"/>
  <c r="BI51" i="90"/>
  <c r="BH51" i="90"/>
  <c r="BF51" i="90"/>
  <c r="BC54" i="90"/>
  <c r="BD53" i="90"/>
  <c r="BF49" i="89"/>
  <c r="BI49" i="89"/>
  <c r="BH49" i="89"/>
  <c r="BG49" i="89"/>
  <c r="BC51" i="89"/>
  <c r="BD50" i="89"/>
  <c r="BC50" i="88"/>
  <c r="BD49" i="88"/>
  <c r="BH48" i="88"/>
  <c r="BG48" i="88"/>
  <c r="BF48" i="88"/>
  <c r="BI48" i="88"/>
  <c r="BF43" i="87"/>
  <c r="BG43" i="87"/>
  <c r="BI43" i="87"/>
  <c r="BH43" i="87"/>
  <c r="BC45" i="87"/>
  <c r="BD44" i="87"/>
  <c r="BC53" i="91" l="1"/>
  <c r="BD52" i="91"/>
  <c r="BF52" i="90"/>
  <c r="BG52" i="90"/>
  <c r="BI52" i="90"/>
  <c r="BH52" i="90"/>
  <c r="BC55" i="90"/>
  <c r="BD54" i="90"/>
  <c r="BI50" i="89"/>
  <c r="BH50" i="89"/>
  <c r="BG50" i="89"/>
  <c r="BF50" i="89"/>
  <c r="BD51" i="89"/>
  <c r="BC52" i="89"/>
  <c r="BI49" i="88"/>
  <c r="BH49" i="88"/>
  <c r="BG49" i="88"/>
  <c r="BF49" i="88"/>
  <c r="BD50" i="88"/>
  <c r="BC51" i="88"/>
  <c r="BG44" i="87"/>
  <c r="BI44" i="87"/>
  <c r="BH44" i="87"/>
  <c r="BF44" i="87"/>
  <c r="BD45" i="87"/>
  <c r="BC46" i="87"/>
  <c r="BG51" i="91" l="1"/>
  <c r="BF51" i="91"/>
  <c r="BI51" i="91"/>
  <c r="BH51" i="91"/>
  <c r="BC54" i="91"/>
  <c r="BD53" i="91"/>
  <c r="BH53" i="90"/>
  <c r="BG53" i="90"/>
  <c r="BI53" i="90"/>
  <c r="BF53" i="90"/>
  <c r="BD55" i="90"/>
  <c r="BC56" i="90"/>
  <c r="BC53" i="89"/>
  <c r="BD52" i="89"/>
  <c r="BC52" i="88"/>
  <c r="BD51" i="88"/>
  <c r="BH50" i="88"/>
  <c r="BG50" i="88"/>
  <c r="BF50" i="88"/>
  <c r="BI50" i="88"/>
  <c r="BD46" i="87"/>
  <c r="BC47" i="87"/>
  <c r="BH45" i="87"/>
  <c r="BI45" i="87"/>
  <c r="BG45" i="87"/>
  <c r="BF45" i="87"/>
  <c r="BF52" i="91" l="1"/>
  <c r="BI52" i="91"/>
  <c r="BH52" i="91"/>
  <c r="BG52" i="91"/>
  <c r="BC55" i="91"/>
  <c r="BD54" i="91"/>
  <c r="BC57" i="90"/>
  <c r="BD56" i="90"/>
  <c r="BF54" i="90"/>
  <c r="BI54" i="90"/>
  <c r="BH54" i="90"/>
  <c r="BG54" i="90"/>
  <c r="BH51" i="89"/>
  <c r="BG51" i="89"/>
  <c r="BF51" i="89"/>
  <c r="BI51" i="89"/>
  <c r="BD53" i="89"/>
  <c r="BC54" i="89"/>
  <c r="BC53" i="88"/>
  <c r="BD52" i="88"/>
  <c r="BC48" i="87"/>
  <c r="BD47" i="87"/>
  <c r="BI46" i="87"/>
  <c r="BG46" i="87"/>
  <c r="BF46" i="87"/>
  <c r="BH46" i="87"/>
  <c r="BH53" i="91" l="1"/>
  <c r="BG53" i="91"/>
  <c r="BF53" i="91"/>
  <c r="BI53" i="91"/>
  <c r="BC56" i="91"/>
  <c r="BD55" i="91"/>
  <c r="BH55" i="90"/>
  <c r="BG55" i="90"/>
  <c r="BI55" i="90"/>
  <c r="BF55" i="90"/>
  <c r="BD57" i="90"/>
  <c r="BC58" i="90"/>
  <c r="BC55" i="89"/>
  <c r="BD54" i="89"/>
  <c r="BG52" i="89"/>
  <c r="BF52" i="89"/>
  <c r="BI52" i="89"/>
  <c r="BH52" i="89"/>
  <c r="BC54" i="88"/>
  <c r="BD53" i="88"/>
  <c r="BG51" i="88"/>
  <c r="BF51" i="88"/>
  <c r="BI51" i="88"/>
  <c r="BH51" i="88"/>
  <c r="BF47" i="87"/>
  <c r="BI47" i="87"/>
  <c r="BH47" i="87"/>
  <c r="BG47" i="87"/>
  <c r="BC49" i="87"/>
  <c r="BD48" i="87"/>
  <c r="BF54" i="91" l="1"/>
  <c r="BI54" i="91"/>
  <c r="BH54" i="91"/>
  <c r="BG54" i="91"/>
  <c r="BC57" i="91"/>
  <c r="BD56" i="91"/>
  <c r="BD58" i="90"/>
  <c r="BC59" i="90"/>
  <c r="BF56" i="90"/>
  <c r="BI56" i="90"/>
  <c r="BG56" i="90"/>
  <c r="BH56" i="90"/>
  <c r="BI53" i="89"/>
  <c r="BH53" i="89"/>
  <c r="BG53" i="89"/>
  <c r="BF53" i="89"/>
  <c r="BD55" i="89"/>
  <c r="BC56" i="89"/>
  <c r="BC55" i="88"/>
  <c r="BD54" i="88"/>
  <c r="BF52" i="88"/>
  <c r="BI52" i="88"/>
  <c r="BH52" i="88"/>
  <c r="BG52" i="88"/>
  <c r="BG48" i="87"/>
  <c r="BF48" i="87"/>
  <c r="BI48" i="87"/>
  <c r="BH48" i="87"/>
  <c r="BC50" i="87"/>
  <c r="BD49" i="87"/>
  <c r="BH55" i="91" l="1"/>
  <c r="BG55" i="91"/>
  <c r="BF55" i="91"/>
  <c r="BI55" i="91"/>
  <c r="BC58" i="91"/>
  <c r="BD57" i="91"/>
  <c r="BC60" i="90"/>
  <c r="BD59" i="90"/>
  <c r="BH57" i="90"/>
  <c r="BG57" i="90"/>
  <c r="BF57" i="90"/>
  <c r="BI57" i="90"/>
  <c r="BC57" i="89"/>
  <c r="BD56" i="89"/>
  <c r="BG54" i="89"/>
  <c r="BF54" i="89"/>
  <c r="BI54" i="89"/>
  <c r="BH54" i="89"/>
  <c r="BC56" i="88"/>
  <c r="BD55" i="88"/>
  <c r="BH53" i="88"/>
  <c r="BG53" i="88"/>
  <c r="BF53" i="88"/>
  <c r="BI53" i="88"/>
  <c r="BI49" i="87"/>
  <c r="BH49" i="87"/>
  <c r="BG49" i="87"/>
  <c r="BF49" i="87"/>
  <c r="BC51" i="87"/>
  <c r="BD50" i="87"/>
  <c r="BF56" i="91" l="1"/>
  <c r="BI56" i="91"/>
  <c r="BH56" i="91"/>
  <c r="BG56" i="91"/>
  <c r="BD58" i="91"/>
  <c r="BC59" i="91"/>
  <c r="BF58" i="90"/>
  <c r="BI58" i="90"/>
  <c r="BH58" i="90"/>
  <c r="BG58" i="90"/>
  <c r="BC61" i="90"/>
  <c r="BD60" i="90"/>
  <c r="BI55" i="89"/>
  <c r="BH55" i="89"/>
  <c r="BG55" i="89"/>
  <c r="BF55" i="89"/>
  <c r="BD57" i="89"/>
  <c r="BC58" i="89"/>
  <c r="BC57" i="88"/>
  <c r="BD56" i="88"/>
  <c r="BF54" i="88"/>
  <c r="BI54" i="88"/>
  <c r="BH54" i="88"/>
  <c r="BG54" i="88"/>
  <c r="BH50" i="87"/>
  <c r="BG50" i="87"/>
  <c r="BI50" i="87"/>
  <c r="BF50" i="87"/>
  <c r="BD51" i="87"/>
  <c r="BC52" i="87"/>
  <c r="BH57" i="91" l="1"/>
  <c r="BG57" i="91"/>
  <c r="BF57" i="91"/>
  <c r="BI57" i="91"/>
  <c r="BC60" i="91"/>
  <c r="BD59" i="91"/>
  <c r="BG59" i="90"/>
  <c r="BF59" i="90"/>
  <c r="BI59" i="90"/>
  <c r="BH59" i="90"/>
  <c r="BD61" i="90"/>
  <c r="BC62" i="90"/>
  <c r="BC59" i="89"/>
  <c r="BD58" i="89"/>
  <c r="BG56" i="89"/>
  <c r="BF56" i="89"/>
  <c r="BI56" i="89"/>
  <c r="BH56" i="89"/>
  <c r="BC58" i="88"/>
  <c r="BD57" i="88"/>
  <c r="BH55" i="88"/>
  <c r="BG55" i="88"/>
  <c r="BF55" i="88"/>
  <c r="BI55" i="88"/>
  <c r="BC53" i="87"/>
  <c r="BD52" i="87"/>
  <c r="BF58" i="91" l="1"/>
  <c r="BI58" i="91"/>
  <c r="BH58" i="91"/>
  <c r="BG58" i="91"/>
  <c r="BC61" i="91"/>
  <c r="BD60" i="91"/>
  <c r="BC63" i="90"/>
  <c r="BD63" i="90" s="1"/>
  <c r="BD62" i="90"/>
  <c r="BH60" i="90"/>
  <c r="BG60" i="90"/>
  <c r="BF60" i="90"/>
  <c r="BI60" i="90"/>
  <c r="BI57" i="89"/>
  <c r="BH57" i="89"/>
  <c r="BG57" i="89"/>
  <c r="BF57" i="89"/>
  <c r="BC60" i="89"/>
  <c r="BD59" i="89"/>
  <c r="BF56" i="88"/>
  <c r="BI56" i="88"/>
  <c r="BH56" i="88"/>
  <c r="BG56" i="88"/>
  <c r="BD58" i="88"/>
  <c r="BC59" i="88"/>
  <c r="BG51" i="87"/>
  <c r="BF51" i="87"/>
  <c r="BI51" i="87"/>
  <c r="BH51" i="87"/>
  <c r="BD53" i="87"/>
  <c r="BC54" i="87"/>
  <c r="BG59" i="91" l="1"/>
  <c r="BF59" i="91"/>
  <c r="BI59" i="91"/>
  <c r="BH59" i="91"/>
  <c r="BD61" i="91"/>
  <c r="BC62" i="91"/>
  <c r="BI61" i="90"/>
  <c r="BH61" i="90"/>
  <c r="BG61" i="90"/>
  <c r="BF61" i="90"/>
  <c r="BG62" i="90"/>
  <c r="BF62" i="90"/>
  <c r="BI62" i="90"/>
  <c r="BH62" i="90"/>
  <c r="BG58" i="89"/>
  <c r="BF58" i="89"/>
  <c r="BI58" i="89"/>
  <c r="BH58" i="89"/>
  <c r="BD60" i="89"/>
  <c r="BC61" i="89"/>
  <c r="BC60" i="88"/>
  <c r="BD59" i="88"/>
  <c r="BH57" i="88"/>
  <c r="BG57" i="88"/>
  <c r="BF57" i="88"/>
  <c r="BI57" i="88"/>
  <c r="BC55" i="87"/>
  <c r="BD54" i="87"/>
  <c r="BF52" i="87"/>
  <c r="BI52" i="87"/>
  <c r="BH52" i="87"/>
  <c r="BG52" i="87"/>
  <c r="BC63" i="91" l="1"/>
  <c r="BD63" i="91" s="1"/>
  <c r="BD62" i="91"/>
  <c r="BH60" i="91"/>
  <c r="BG60" i="91"/>
  <c r="BF60" i="91"/>
  <c r="BI60" i="91"/>
  <c r="BH59" i="89"/>
  <c r="BG59" i="89"/>
  <c r="BF59" i="89"/>
  <c r="BI59" i="89"/>
  <c r="BC62" i="89"/>
  <c r="BD61" i="89"/>
  <c r="BF58" i="88"/>
  <c r="BI58" i="88"/>
  <c r="BH58" i="88"/>
  <c r="BG58" i="88"/>
  <c r="BC61" i="88"/>
  <c r="BD60" i="88"/>
  <c r="BH53" i="87"/>
  <c r="BG53" i="87"/>
  <c r="BI53" i="87"/>
  <c r="BF53" i="87"/>
  <c r="BC56" i="87"/>
  <c r="BD55" i="87"/>
  <c r="BI61" i="91" l="1"/>
  <c r="BH61" i="91"/>
  <c r="BG61" i="91"/>
  <c r="BF61" i="91"/>
  <c r="BG62" i="91"/>
  <c r="BF62" i="91"/>
  <c r="BI62" i="91"/>
  <c r="BH62" i="91"/>
  <c r="BF60" i="89"/>
  <c r="BI60" i="89"/>
  <c r="BH60" i="89"/>
  <c r="BG60" i="89"/>
  <c r="BC63" i="89"/>
  <c r="BD63" i="89" s="1"/>
  <c r="BD62" i="89"/>
  <c r="BG59" i="88"/>
  <c r="BF59" i="88"/>
  <c r="BI59" i="88"/>
  <c r="BH59" i="88"/>
  <c r="BD61" i="88"/>
  <c r="BC62" i="88"/>
  <c r="BF54" i="87"/>
  <c r="BI54" i="87"/>
  <c r="BH54" i="87"/>
  <c r="BG54" i="87"/>
  <c r="BC57" i="87"/>
  <c r="BD56" i="87"/>
  <c r="BG61" i="89" l="1"/>
  <c r="BF61" i="89"/>
  <c r="BI61" i="89"/>
  <c r="BH61" i="89"/>
  <c r="BI62" i="89"/>
  <c r="BH62" i="89"/>
  <c r="BG62" i="89"/>
  <c r="BF62" i="89"/>
  <c r="BC63" i="88"/>
  <c r="BD63" i="88" s="1"/>
  <c r="BD62" i="88"/>
  <c r="BH60" i="88"/>
  <c r="BG60" i="88"/>
  <c r="BF60" i="88"/>
  <c r="BI60" i="88"/>
  <c r="BH55" i="87"/>
  <c r="BG55" i="87"/>
  <c r="BI55" i="87"/>
  <c r="BF55" i="87"/>
  <c r="BD57" i="87"/>
  <c r="BC58" i="87"/>
  <c r="BI61" i="88" l="1"/>
  <c r="BH61" i="88"/>
  <c r="BG61" i="88"/>
  <c r="BF61" i="88"/>
  <c r="BG62" i="88"/>
  <c r="BF62" i="88"/>
  <c r="BI62" i="88"/>
  <c r="BH62" i="88"/>
  <c r="BD58" i="87"/>
  <c r="BC59" i="87"/>
  <c r="BF56" i="87"/>
  <c r="BI56" i="87"/>
  <c r="BH56" i="87"/>
  <c r="BG56" i="87"/>
  <c r="BC60" i="87" l="1"/>
  <c r="BD59" i="87"/>
  <c r="BH57" i="87"/>
  <c r="BG57" i="87"/>
  <c r="BI57" i="87"/>
  <c r="BF57" i="87"/>
  <c r="BF58" i="87" l="1"/>
  <c r="BI58" i="87"/>
  <c r="BG58" i="87"/>
  <c r="BH58" i="87"/>
  <c r="BC61" i="87"/>
  <c r="BD60" i="87"/>
  <c r="BG59" i="87" l="1"/>
  <c r="BF59" i="87"/>
  <c r="BH59" i="87"/>
  <c r="BI59" i="87"/>
  <c r="BC62" i="87"/>
  <c r="BD61" i="87"/>
  <c r="BH60" i="87" l="1"/>
  <c r="BG60" i="87"/>
  <c r="BF60" i="87"/>
  <c r="BI60" i="87"/>
  <c r="BD62" i="87"/>
  <c r="BC63" i="87"/>
  <c r="BD63" i="87" s="1"/>
  <c r="BH62" i="87" l="1"/>
  <c r="BG62" i="87"/>
  <c r="BF62" i="87"/>
  <c r="BI62" i="87"/>
  <c r="BI61" i="87"/>
  <c r="BH61" i="87"/>
  <c r="BG61" i="87"/>
  <c r="BF61" i="87"/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8" i="85"/>
  <c r="AJ18" i="85"/>
  <c r="G26" i="85"/>
  <c r="AJ11" i="85"/>
  <c r="AJ22" i="85"/>
  <c r="AJ14" i="85"/>
  <c r="AJ23" i="85"/>
  <c r="G30" i="85"/>
  <c r="E6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X52" i="85"/>
  <c r="AW59" i="85"/>
  <c r="AX59" i="85" s="1"/>
  <c r="A1" i="84"/>
  <c r="AJ51" i="85"/>
  <c r="G40" i="85"/>
  <c r="G36" i="85"/>
  <c r="AJ27" i="85"/>
  <c r="AJ42" i="85"/>
  <c r="AK22" i="85"/>
  <c r="AJ31" i="85"/>
  <c r="AK11" i="85"/>
  <c r="AJ50" i="85"/>
  <c r="AJ21" i="85"/>
  <c r="AL14" i="85"/>
  <c r="AJ36" i="85"/>
  <c r="E30" i="85"/>
  <c r="AJ59" i="85"/>
  <c r="AJ55" i="85"/>
  <c r="AJ57" i="85"/>
  <c r="AJ17" i="85"/>
  <c r="G33" i="85"/>
  <c r="G7" i="85"/>
  <c r="AJ67" i="85"/>
  <c r="G48" i="85"/>
  <c r="AJ53" i="85"/>
  <c r="AJ29" i="85"/>
  <c r="AJ41" i="85"/>
  <c r="AL8" i="85"/>
  <c r="AK18" i="85"/>
  <c r="AJ45" i="85"/>
  <c r="G15" i="85"/>
  <c r="AJ52" i="85"/>
  <c r="G9" i="85"/>
  <c r="G18" i="85"/>
  <c r="G35" i="85"/>
  <c r="E26" i="85"/>
  <c r="AJ19" i="85"/>
  <c r="G22" i="85"/>
  <c r="AJ64" i="85"/>
  <c r="G44" i="85"/>
  <c r="G42" i="85"/>
  <c r="AJ35" i="85"/>
  <c r="AL11" i="85"/>
  <c r="AJ60" i="85"/>
  <c r="G24" i="85"/>
  <c r="AJ38" i="85"/>
  <c r="G31" i="85"/>
  <c r="AJ9" i="85"/>
  <c r="G11" i="85"/>
  <c r="G47" i="85"/>
  <c r="AJ43" i="85"/>
  <c r="G13" i="85"/>
  <c r="AJ32" i="85"/>
  <c r="G46" i="85"/>
  <c r="AJ46" i="85"/>
  <c r="AJ28" i="85"/>
  <c r="G20" i="85"/>
  <c r="AJ33" i="85"/>
  <c r="G61" i="85"/>
  <c r="AL23" i="85"/>
  <c r="G34" i="85"/>
  <c r="AJ66" i="85"/>
  <c r="G29" i="85"/>
  <c r="AJ40" i="85"/>
  <c r="AJ25" i="85"/>
  <c r="AL18" i="85"/>
  <c r="AJ56" i="85"/>
  <c r="AJ10" i="85"/>
  <c r="AJ13" i="85"/>
  <c r="G14" i="85"/>
  <c r="AJ37" i="85"/>
  <c r="AJ65" i="85"/>
  <c r="G8" i="85"/>
  <c r="AJ63" i="85"/>
  <c r="AJ48" i="85"/>
  <c r="G27" i="85"/>
  <c r="AJ20" i="85"/>
  <c r="G45" i="85"/>
  <c r="G10" i="85"/>
  <c r="G17" i="85"/>
  <c r="G32" i="85"/>
  <c r="AJ24" i="85"/>
  <c r="AJ61" i="85"/>
  <c r="AJ34" i="85"/>
  <c r="AJ26" i="85"/>
  <c r="G25" i="85"/>
  <c r="G16" i="85"/>
  <c r="AL22" i="85"/>
  <c r="AJ16" i="85"/>
  <c r="G19" i="85"/>
  <c r="AK14" i="85"/>
  <c r="AJ54" i="85"/>
  <c r="AJ47" i="85"/>
  <c r="AJ39" i="85"/>
  <c r="G39" i="85"/>
  <c r="AJ12" i="85"/>
  <c r="G21" i="85"/>
  <c r="G41" i="85"/>
  <c r="G23" i="85"/>
  <c r="G37" i="85"/>
  <c r="AK8" i="85"/>
  <c r="AJ7" i="85"/>
  <c r="AJ15" i="85"/>
  <c r="AJ62" i="85"/>
  <c r="G28" i="85"/>
  <c r="G43" i="85"/>
  <c r="G49" i="85"/>
  <c r="AJ44" i="85"/>
  <c r="AJ58" i="85"/>
  <c r="AK23" i="85"/>
  <c r="AJ49" i="85"/>
  <c r="G12" i="85"/>
  <c r="AJ30" i="85"/>
  <c r="G38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BD8" i="85" s="1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K38" i="85"/>
  <c r="E61" i="85"/>
  <c r="AK36" i="85"/>
  <c r="AK40" i="85"/>
  <c r="AK13" i="85"/>
  <c r="E39" i="85"/>
  <c r="AK17" i="85"/>
  <c r="AK31" i="85"/>
  <c r="AK45" i="85"/>
  <c r="AL21" i="85"/>
  <c r="E16" i="85"/>
  <c r="E23" i="85"/>
  <c r="AK26" i="85"/>
  <c r="AK30" i="85"/>
  <c r="E42" i="85"/>
  <c r="AL34" i="85"/>
  <c r="AK46" i="85"/>
  <c r="E44" i="85"/>
  <c r="AK29" i="85"/>
  <c r="E14" i="85"/>
  <c r="AK9" i="85"/>
  <c r="AK20" i="85"/>
  <c r="AK61" i="85"/>
  <c r="E35" i="85"/>
  <c r="E13" i="85"/>
  <c r="E38" i="85"/>
  <c r="E48" i="85"/>
  <c r="AL12" i="85"/>
  <c r="E40" i="85"/>
  <c r="E17" i="85"/>
  <c r="AL15" i="85"/>
  <c r="AL36" i="85"/>
  <c r="E45" i="85"/>
  <c r="AK37" i="85"/>
  <c r="AL7" i="85"/>
  <c r="AL20" i="85"/>
  <c r="AL43" i="85"/>
  <c r="AL13" i="85"/>
  <c r="E8" i="85"/>
  <c r="AL29" i="85"/>
  <c r="E15" i="85"/>
  <c r="E41" i="85"/>
  <c r="E21" i="85"/>
  <c r="AK47" i="85"/>
  <c r="AL49" i="85"/>
  <c r="AL47" i="85"/>
  <c r="AK10" i="85"/>
  <c r="E20" i="85"/>
  <c r="AK16" i="85"/>
  <c r="AK34" i="85"/>
  <c r="AK41" i="85"/>
  <c r="E28" i="85"/>
  <c r="AL9" i="85"/>
  <c r="E43" i="85"/>
  <c r="E25" i="85"/>
  <c r="AK21" i="85"/>
  <c r="E9" i="85"/>
  <c r="AL26" i="85"/>
  <c r="E31" i="85"/>
  <c r="AK27" i="85"/>
  <c r="AL44" i="85"/>
  <c r="E10" i="85"/>
  <c r="E27" i="85"/>
  <c r="AL39" i="85"/>
  <c r="AL32" i="85"/>
  <c r="AL40" i="85"/>
  <c r="AK43" i="85"/>
  <c r="AL38" i="85"/>
  <c r="E37" i="85"/>
  <c r="AK49" i="85"/>
  <c r="AL10" i="85"/>
  <c r="E22" i="85"/>
  <c r="AK32" i="85"/>
  <c r="AK44" i="85"/>
  <c r="AK35" i="85"/>
  <c r="AL31" i="85"/>
  <c r="AL33" i="85"/>
  <c r="E32" i="85"/>
  <c r="AK12" i="85"/>
  <c r="AK19" i="85"/>
  <c r="AK24" i="85"/>
  <c r="AL41" i="85"/>
  <c r="E19" i="85"/>
  <c r="AK48" i="85"/>
  <c r="AK25" i="85"/>
  <c r="AK28" i="85"/>
  <c r="E46" i="85"/>
  <c r="E33" i="85"/>
  <c r="AK15" i="85"/>
  <c r="AL16" i="85"/>
  <c r="E47" i="85"/>
  <c r="E49" i="85"/>
  <c r="AL19" i="85"/>
  <c r="AL46" i="85"/>
  <c r="AK7" i="85"/>
  <c r="AL45" i="85"/>
  <c r="E6" i="84"/>
  <c r="AL61" i="85"/>
  <c r="E11" i="85"/>
  <c r="E36" i="85"/>
  <c r="AL37" i="85"/>
  <c r="AL24" i="85"/>
  <c r="E18" i="85"/>
  <c r="E24" i="85"/>
  <c r="AJ9" i="84"/>
  <c r="AK39" i="85"/>
  <c r="AL17" i="85"/>
  <c r="AK42" i="85"/>
  <c r="E12" i="85"/>
  <c r="AL25" i="85"/>
  <c r="E34" i="85"/>
  <c r="AL27" i="85"/>
  <c r="E7" i="85"/>
  <c r="AL42" i="85"/>
  <c r="AL28" i="85"/>
  <c r="AK33" i="85"/>
  <c r="AL35" i="85"/>
  <c r="AL30" i="85"/>
  <c r="AL48" i="85"/>
  <c r="E29" i="85"/>
  <c r="AG9" i="85" l="1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G8" i="85"/>
  <c r="BF8" i="85"/>
  <c r="BI8" i="85"/>
  <c r="BH8" i="85"/>
  <c r="BD7" i="85"/>
  <c r="BC10" i="85"/>
  <c r="BD9" i="85"/>
  <c r="AW11" i="84"/>
  <c r="AW13" i="84"/>
  <c r="AX13" i="84" s="1"/>
  <c r="AW9" i="84"/>
  <c r="AX9" i="84" s="1"/>
  <c r="AW10" i="84"/>
  <c r="AX10" i="84" s="1"/>
  <c r="AW12" i="84"/>
  <c r="AW51" i="84"/>
  <c r="AX51" i="84" s="1"/>
  <c r="AW52" i="84"/>
  <c r="AX52" i="84" s="1"/>
  <c r="AW49" i="84"/>
  <c r="AW58" i="84"/>
  <c r="AX58" i="84" s="1"/>
  <c r="AW44" i="84"/>
  <c r="AX44" i="84" s="1"/>
  <c r="AW63" i="84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G7" i="84"/>
  <c r="G26" i="84"/>
  <c r="AJ11" i="84"/>
  <c r="G38" i="84"/>
  <c r="AJ32" i="84"/>
  <c r="AJ23" i="84"/>
  <c r="G46" i="84"/>
  <c r="G18" i="84"/>
  <c r="G36" i="84"/>
  <c r="G28" i="84"/>
  <c r="G22" i="84"/>
  <c r="AJ42" i="84"/>
  <c r="AJ10" i="84"/>
  <c r="G40" i="84"/>
  <c r="G29" i="84"/>
  <c r="G11" i="84"/>
  <c r="AJ55" i="84"/>
  <c r="G32" i="84"/>
  <c r="AJ44" i="84"/>
  <c r="G31" i="84"/>
  <c r="AJ63" i="84"/>
  <c r="G19" i="84"/>
  <c r="AJ15" i="84"/>
  <c r="AJ19" i="84"/>
  <c r="G13" i="84"/>
  <c r="AJ7" i="84"/>
  <c r="AJ61" i="84"/>
  <c r="AJ17" i="84"/>
  <c r="G17" i="84"/>
  <c r="AJ27" i="84"/>
  <c r="AJ58" i="84"/>
  <c r="AJ12" i="84"/>
  <c r="G14" i="84"/>
  <c r="AL9" i="84"/>
  <c r="G8" i="84"/>
  <c r="AJ64" i="84"/>
  <c r="G10" i="84"/>
  <c r="AJ25" i="84"/>
  <c r="AJ38" i="84"/>
  <c r="G34" i="84"/>
  <c r="G12" i="84"/>
  <c r="AJ57" i="84"/>
  <c r="G48" i="84"/>
  <c r="AJ52" i="84"/>
  <c r="G16" i="84"/>
  <c r="G61" i="84"/>
  <c r="AJ40" i="84"/>
  <c r="AK9" i="84"/>
  <c r="AJ30" i="84"/>
  <c r="G25" i="84"/>
  <c r="AJ50" i="84"/>
  <c r="AJ54" i="84"/>
  <c r="AJ62" i="84"/>
  <c r="AJ28" i="84"/>
  <c r="AJ65" i="84"/>
  <c r="AJ46" i="84"/>
  <c r="G23" i="84"/>
  <c r="AJ49" i="84"/>
  <c r="G35" i="84"/>
  <c r="AJ18" i="84"/>
  <c r="G27" i="84"/>
  <c r="AJ13" i="84"/>
  <c r="AJ33" i="84"/>
  <c r="G21" i="84"/>
  <c r="AJ48" i="84"/>
  <c r="AJ26" i="84"/>
  <c r="G20" i="84"/>
  <c r="AJ31" i="84"/>
  <c r="G47" i="84"/>
  <c r="G24" i="84"/>
  <c r="AJ43" i="84"/>
  <c r="AJ59" i="84"/>
  <c r="AJ37" i="84"/>
  <c r="G9" i="84"/>
  <c r="AJ14" i="84"/>
  <c r="AJ53" i="84"/>
  <c r="AJ66" i="84"/>
  <c r="AJ41" i="84"/>
  <c r="AJ16" i="84"/>
  <c r="AJ29" i="84"/>
  <c r="G45" i="84"/>
  <c r="G15" i="84"/>
  <c r="AJ39" i="84"/>
  <c r="AJ35" i="84"/>
  <c r="AJ36" i="84"/>
  <c r="G39" i="84"/>
  <c r="G42" i="84"/>
  <c r="AJ56" i="84"/>
  <c r="AJ47" i="84"/>
  <c r="AJ24" i="84"/>
  <c r="G33" i="84"/>
  <c r="G44" i="84"/>
  <c r="AJ8" i="84"/>
  <c r="AJ21" i="84"/>
  <c r="AJ20" i="84"/>
  <c r="G49" i="84"/>
  <c r="AJ51" i="84"/>
  <c r="AJ45" i="84"/>
  <c r="G41" i="84"/>
  <c r="G30" i="84"/>
  <c r="AJ34" i="84"/>
  <c r="AJ60" i="84"/>
  <c r="G43" i="84"/>
  <c r="G37" i="84"/>
  <c r="AJ67" i="84"/>
  <c r="AJ22" i="84"/>
  <c r="M13" i="84" l="1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AL49" i="84"/>
  <c r="AK15" i="84"/>
  <c r="E15" i="84"/>
  <c r="AL28" i="84"/>
  <c r="AL29" i="84"/>
  <c r="E26" i="84"/>
  <c r="E37" i="84"/>
  <c r="E16" i="84"/>
  <c r="AL48" i="84"/>
  <c r="E7" i="84"/>
  <c r="E20" i="84"/>
  <c r="AK39" i="84"/>
  <c r="E31" i="84"/>
  <c r="E9" i="84"/>
  <c r="AL23" i="84"/>
  <c r="AL32" i="84"/>
  <c r="AL21" i="84"/>
  <c r="AK46" i="84"/>
  <c r="AK36" i="84"/>
  <c r="AK17" i="84"/>
  <c r="AK45" i="84"/>
  <c r="AK27" i="84"/>
  <c r="E46" i="84"/>
  <c r="AL37" i="84"/>
  <c r="AK29" i="84"/>
  <c r="AL8" i="84"/>
  <c r="AK35" i="84"/>
  <c r="E14" i="84"/>
  <c r="AL25" i="84"/>
  <c r="E27" i="84"/>
  <c r="E23" i="84"/>
  <c r="E39" i="84"/>
  <c r="AK7" i="84"/>
  <c r="AL36" i="84"/>
  <c r="E49" i="84"/>
  <c r="E40" i="84"/>
  <c r="AL20" i="84"/>
  <c r="E11" i="84"/>
  <c r="AK41" i="84"/>
  <c r="AL34" i="84"/>
  <c r="AK19" i="84"/>
  <c r="AK20" i="84"/>
  <c r="AL10" i="84"/>
  <c r="E17" i="84"/>
  <c r="AL15" i="84"/>
  <c r="AL12" i="84"/>
  <c r="AK21" i="84"/>
  <c r="E61" i="84"/>
  <c r="AL18" i="84"/>
  <c r="E13" i="84"/>
  <c r="AL39" i="84"/>
  <c r="E28" i="84"/>
  <c r="AK43" i="84"/>
  <c r="AK34" i="84"/>
  <c r="AK23" i="84"/>
  <c r="AL26" i="84"/>
  <c r="E33" i="84"/>
  <c r="AL61" i="84"/>
  <c r="E47" i="84"/>
  <c r="AL35" i="84"/>
  <c r="AK24" i="84"/>
  <c r="E34" i="84"/>
  <c r="AK47" i="84"/>
  <c r="AL30" i="84"/>
  <c r="E24" i="84"/>
  <c r="E21" i="84"/>
  <c r="E44" i="84"/>
  <c r="E12" i="84"/>
  <c r="AK61" i="84"/>
  <c r="AK8" i="84"/>
  <c r="AK32" i="84"/>
  <c r="AK42" i="84"/>
  <c r="AK37" i="84"/>
  <c r="E41" i="84"/>
  <c r="AK13" i="84"/>
  <c r="E48" i="84"/>
  <c r="AL45" i="84"/>
  <c r="E30" i="84"/>
  <c r="AK49" i="84"/>
  <c r="E8" i="84"/>
  <c r="AK38" i="84"/>
  <c r="AL38" i="84"/>
  <c r="AK11" i="84"/>
  <c r="AL33" i="84"/>
  <c r="AL43" i="84"/>
  <c r="AK28" i="84"/>
  <c r="AL41" i="84"/>
  <c r="E42" i="84"/>
  <c r="AL11" i="84"/>
  <c r="E36" i="84"/>
  <c r="AK30" i="84"/>
  <c r="AL31" i="84"/>
  <c r="AK16" i="84"/>
  <c r="AL47" i="84"/>
  <c r="AK14" i="84"/>
  <c r="AK48" i="84"/>
  <c r="E38" i="84"/>
  <c r="AL7" i="84"/>
  <c r="AL13" i="84"/>
  <c r="AK18" i="84"/>
  <c r="E32" i="84"/>
  <c r="AL24" i="84"/>
  <c r="AL22" i="84"/>
  <c r="AL16" i="84"/>
  <c r="AK10" i="84"/>
  <c r="E19" i="84"/>
  <c r="E25" i="84"/>
  <c r="AK33" i="84"/>
  <c r="AK44" i="84"/>
  <c r="E29" i="84"/>
  <c r="AK26" i="84"/>
  <c r="AK22" i="84"/>
  <c r="E45" i="84"/>
  <c r="AL19" i="84"/>
  <c r="E35" i="84"/>
  <c r="AL40" i="84"/>
  <c r="E10" i="84"/>
  <c r="AL17" i="84"/>
  <c r="AL14" i="84"/>
  <c r="AK12" i="84"/>
  <c r="E22" i="84"/>
  <c r="AL27" i="84"/>
  <c r="AK31" i="84"/>
  <c r="AK40" i="84"/>
  <c r="AL42" i="84"/>
  <c r="AL46" i="84"/>
  <c r="E43" i="84"/>
  <c r="AL44" i="84"/>
  <c r="E18" i="84"/>
  <c r="AK25" i="84"/>
  <c r="S9" i="85" l="1"/>
  <c r="BD9" i="84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E6" i="83"/>
  <c r="G13" i="83"/>
  <c r="BG11" i="85" l="1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G31" i="7"/>
  <c r="CG21" i="7"/>
  <c r="CG11" i="7"/>
  <c r="CG7" i="7"/>
  <c r="CK7" i="7"/>
  <c r="CK11" i="7"/>
  <c r="CK21" i="7"/>
  <c r="CK31" i="7"/>
  <c r="AJ49" i="83"/>
  <c r="G21" i="83"/>
  <c r="G20" i="83"/>
  <c r="G50" i="83"/>
  <c r="AJ35" i="83"/>
  <c r="AJ53" i="83"/>
  <c r="AJ43" i="83"/>
  <c r="AJ26" i="83"/>
  <c r="G23" i="83"/>
  <c r="G48" i="83"/>
  <c r="AJ21" i="83"/>
  <c r="AJ25" i="83"/>
  <c r="AJ23" i="83"/>
  <c r="AJ41" i="83"/>
  <c r="AJ51" i="83"/>
  <c r="AJ45" i="83"/>
  <c r="AJ15" i="83"/>
  <c r="AJ54" i="83"/>
  <c r="G14" i="83"/>
  <c r="E9" i="83"/>
  <c r="G26" i="83"/>
  <c r="G10" i="83"/>
  <c r="G11" i="83"/>
  <c r="AJ59" i="83"/>
  <c r="AJ8" i="83"/>
  <c r="AJ63" i="83"/>
  <c r="G24" i="83"/>
  <c r="G39" i="83"/>
  <c r="G34" i="83"/>
  <c r="G19" i="83"/>
  <c r="AJ18" i="83"/>
  <c r="G15" i="83"/>
  <c r="G32" i="83"/>
  <c r="G35" i="83"/>
  <c r="AJ16" i="83"/>
  <c r="G38" i="83"/>
  <c r="G37" i="83"/>
  <c r="AJ39" i="83"/>
  <c r="AJ52" i="83"/>
  <c r="AJ10" i="83"/>
  <c r="AJ44" i="83"/>
  <c r="E13" i="83"/>
  <c r="AJ32" i="83"/>
  <c r="AJ50" i="83"/>
  <c r="G17" i="83"/>
  <c r="AJ36" i="83"/>
  <c r="G31" i="83"/>
  <c r="AJ14" i="83"/>
  <c r="G7" i="83"/>
  <c r="G40" i="83"/>
  <c r="G27" i="83"/>
  <c r="G41" i="83"/>
  <c r="G33" i="83"/>
  <c r="AJ34" i="83"/>
  <c r="AJ13" i="83"/>
  <c r="AJ64" i="83"/>
  <c r="AJ20" i="83"/>
  <c r="AJ30" i="83"/>
  <c r="G28" i="83"/>
  <c r="AJ40" i="83"/>
  <c r="AJ17" i="83"/>
  <c r="AJ29" i="83"/>
  <c r="G18" i="83"/>
  <c r="AJ33" i="83"/>
  <c r="AJ22" i="83"/>
  <c r="AJ31" i="83"/>
  <c r="AJ38" i="83"/>
  <c r="AJ65" i="83"/>
  <c r="AJ62" i="83"/>
  <c r="G16" i="83"/>
  <c r="G36" i="83"/>
  <c r="G29" i="83"/>
  <c r="AJ58" i="83"/>
  <c r="G43" i="83"/>
  <c r="G30" i="83"/>
  <c r="G47" i="83"/>
  <c r="G22" i="83"/>
  <c r="AJ47" i="83"/>
  <c r="G42" i="83"/>
  <c r="AJ55" i="83"/>
  <c r="AJ60" i="83"/>
  <c r="AJ67" i="83"/>
  <c r="AJ37" i="83"/>
  <c r="G45" i="83"/>
  <c r="G49" i="83"/>
  <c r="AJ66" i="83"/>
  <c r="G8" i="83"/>
  <c r="AJ7" i="83"/>
  <c r="AJ9" i="83"/>
  <c r="G46" i="83"/>
  <c r="AJ24" i="83"/>
  <c r="AJ57" i="83"/>
  <c r="G25" i="83"/>
  <c r="E12" i="83"/>
  <c r="AJ48" i="83"/>
  <c r="G61" i="83"/>
  <c r="AJ27" i="83"/>
  <c r="AJ42" i="83"/>
  <c r="AJ46" i="83"/>
  <c r="AJ11" i="83"/>
  <c r="AJ56" i="83"/>
  <c r="AJ12" i="83"/>
  <c r="G44" i="83"/>
  <c r="AJ19" i="83"/>
  <c r="AJ28" i="83"/>
  <c r="AJ61" i="83"/>
  <c r="BD7" i="7"/>
  <c r="BJ7" i="7"/>
  <c r="BJ11" i="7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5" i="83"/>
  <c r="E50" i="83"/>
  <c r="E27" i="83"/>
  <c r="AL40" i="83"/>
  <c r="AK10" i="83"/>
  <c r="AK24" i="83"/>
  <c r="E24" i="83"/>
  <c r="AK45" i="83"/>
  <c r="AL11" i="83"/>
  <c r="E18" i="83"/>
  <c r="AL32" i="83"/>
  <c r="E43" i="83"/>
  <c r="AK20" i="83"/>
  <c r="AK26" i="83"/>
  <c r="E47" i="83"/>
  <c r="AL15" i="83"/>
  <c r="AK12" i="83"/>
  <c r="E45" i="83"/>
  <c r="AL49" i="83"/>
  <c r="E36" i="83"/>
  <c r="AL36" i="83"/>
  <c r="AL29" i="83"/>
  <c r="AL41" i="83"/>
  <c r="AL35" i="83"/>
  <c r="E15" i="83"/>
  <c r="AK41" i="83"/>
  <c r="AL17" i="83"/>
  <c r="AK39" i="83"/>
  <c r="AL10" i="83"/>
  <c r="AK30" i="83"/>
  <c r="AK7" i="83"/>
  <c r="AK27" i="83"/>
  <c r="E7" i="83"/>
  <c r="AK37" i="83"/>
  <c r="AK33" i="83"/>
  <c r="AL31" i="83"/>
  <c r="E26" i="83"/>
  <c r="AK9" i="83"/>
  <c r="AL19" i="83"/>
  <c r="E32" i="83"/>
  <c r="AL48" i="83"/>
  <c r="AK25" i="83"/>
  <c r="E48" i="83"/>
  <c r="AL14" i="83"/>
  <c r="E11" i="83"/>
  <c r="AK19" i="83"/>
  <c r="AL45" i="83"/>
  <c r="E29" i="83"/>
  <c r="AL9" i="83"/>
  <c r="AK13" i="83"/>
  <c r="E41" i="83"/>
  <c r="E8" i="83"/>
  <c r="AL30" i="83"/>
  <c r="AL42" i="83"/>
  <c r="E61" i="83"/>
  <c r="AK8" i="83"/>
  <c r="AL12" i="83"/>
  <c r="AL8" i="83"/>
  <c r="E22" i="83"/>
  <c r="AK17" i="83"/>
  <c r="E35" i="83"/>
  <c r="E14" i="83"/>
  <c r="AL25" i="83"/>
  <c r="E19" i="83"/>
  <c r="AL46" i="83"/>
  <c r="E28" i="83"/>
  <c r="AK50" i="83"/>
  <c r="E20" i="83"/>
  <c r="AK21" i="83"/>
  <c r="AL21" i="83"/>
  <c r="AK44" i="83"/>
  <c r="AK23" i="83"/>
  <c r="AL26" i="83"/>
  <c r="E21" i="83"/>
  <c r="AK34" i="83"/>
  <c r="E46" i="83"/>
  <c r="AL39" i="83"/>
  <c r="AL23" i="83"/>
  <c r="E10" i="83"/>
  <c r="AL47" i="83"/>
  <c r="AK31" i="83"/>
  <c r="AK11" i="83"/>
  <c r="E33" i="83"/>
  <c r="E37" i="83"/>
  <c r="AL33" i="83"/>
  <c r="AK61" i="83"/>
  <c r="AL27" i="83"/>
  <c r="AL44" i="83"/>
  <c r="AK36" i="83"/>
  <c r="AL28" i="83"/>
  <c r="AK22" i="83"/>
  <c r="E30" i="83"/>
  <c r="E49" i="83"/>
  <c r="AL61" i="83"/>
  <c r="AL7" i="83"/>
  <c r="AL38" i="83"/>
  <c r="E31" i="83"/>
  <c r="AK46" i="83"/>
  <c r="AL20" i="83"/>
  <c r="E16" i="83"/>
  <c r="AK15" i="83"/>
  <c r="AK40" i="83"/>
  <c r="AL22" i="83"/>
  <c r="AK35" i="83"/>
  <c r="E39" i="83"/>
  <c r="AL34" i="83"/>
  <c r="E40" i="83"/>
  <c r="AK32" i="83"/>
  <c r="AK38" i="83"/>
  <c r="AL37" i="83"/>
  <c r="E42" i="83"/>
  <c r="AK42" i="83"/>
  <c r="AL18" i="83"/>
  <c r="E17" i="83"/>
  <c r="AK47" i="83"/>
  <c r="AK29" i="83"/>
  <c r="E23" i="83"/>
  <c r="AL13" i="83"/>
  <c r="AK43" i="83"/>
  <c r="E34" i="83"/>
  <c r="E44" i="83"/>
  <c r="AL16" i="83"/>
  <c r="AK49" i="83"/>
  <c r="AL50" i="83"/>
  <c r="AL24" i="83"/>
  <c r="AK28" i="83"/>
  <c r="AK48" i="83"/>
  <c r="AK18" i="83"/>
  <c r="E38" i="83"/>
  <c r="AL43" i="83"/>
  <c r="AK16" i="83"/>
  <c r="AK14" i="83"/>
  <c r="CC50" i="5" l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V12" i="10" s="1"/>
  <c r="BZ56" i="5"/>
  <c r="CC61" i="5" s="1"/>
  <c r="CC63" i="5" l="1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30" i="81"/>
  <c r="E6" i="81"/>
  <c r="G7" i="81"/>
  <c r="AJ12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AJ27" i="81"/>
  <c r="AJ36" i="81"/>
  <c r="G61" i="81"/>
  <c r="G48" i="81"/>
  <c r="G25" i="81"/>
  <c r="AJ40" i="81"/>
  <c r="G50" i="81"/>
  <c r="G28" i="81"/>
  <c r="G16" i="81"/>
  <c r="AJ38" i="81"/>
  <c r="G32" i="81"/>
  <c r="AJ54" i="81"/>
  <c r="AK12" i="81"/>
  <c r="AJ14" i="81"/>
  <c r="AJ58" i="81"/>
  <c r="G9" i="81"/>
  <c r="AJ57" i="81"/>
  <c r="AJ48" i="81"/>
  <c r="G37" i="81"/>
  <c r="AJ13" i="81"/>
  <c r="AJ63" i="81"/>
  <c r="AJ32" i="81"/>
  <c r="G14" i="81"/>
  <c r="G15" i="81"/>
  <c r="AJ56" i="81"/>
  <c r="AJ61" i="81"/>
  <c r="G34" i="81"/>
  <c r="G35" i="81"/>
  <c r="G24" i="81"/>
  <c r="AJ34" i="81"/>
  <c r="AJ17" i="81"/>
  <c r="G44" i="81"/>
  <c r="AJ49" i="81"/>
  <c r="G41" i="81"/>
  <c r="G45" i="81"/>
  <c r="G17" i="81"/>
  <c r="AJ29" i="81"/>
  <c r="AJ41" i="81"/>
  <c r="G21" i="81"/>
  <c r="G40" i="81"/>
  <c r="G36" i="81"/>
  <c r="G8" i="81"/>
  <c r="G12" i="81"/>
  <c r="AJ7" i="81"/>
  <c r="AJ18" i="81"/>
  <c r="AJ10" i="81"/>
  <c r="G47" i="81"/>
  <c r="AJ60" i="81"/>
  <c r="AJ55" i="81"/>
  <c r="AJ28" i="81"/>
  <c r="AJ52" i="81"/>
  <c r="AJ31" i="81"/>
  <c r="AJ37" i="81"/>
  <c r="AL30" i="81"/>
  <c r="G18" i="81"/>
  <c r="AJ44" i="81"/>
  <c r="AJ26" i="81"/>
  <c r="AJ16" i="81"/>
  <c r="AJ42" i="81"/>
  <c r="G27" i="81"/>
  <c r="G13" i="81"/>
  <c r="G11" i="81"/>
  <c r="AJ8" i="81"/>
  <c r="AJ21" i="81"/>
  <c r="E6" i="80"/>
  <c r="G49" i="81"/>
  <c r="AJ24" i="81"/>
  <c r="AJ20" i="81"/>
  <c r="AJ19" i="81"/>
  <c r="G20" i="81"/>
  <c r="AJ67" i="81"/>
  <c r="E7" i="81"/>
  <c r="AJ50" i="81"/>
  <c r="E39" i="81"/>
  <c r="G30" i="81"/>
  <c r="AJ65" i="81"/>
  <c r="AJ11" i="81"/>
  <c r="AJ47" i="81"/>
  <c r="AJ15" i="81"/>
  <c r="G38" i="81"/>
  <c r="AJ9" i="81"/>
  <c r="AJ39" i="81"/>
  <c r="AJ53" i="81"/>
  <c r="G42" i="81"/>
  <c r="AJ25" i="81"/>
  <c r="G43" i="81"/>
  <c r="AJ62" i="81"/>
  <c r="G10" i="81"/>
  <c r="AJ33" i="81"/>
  <c r="AJ23" i="81"/>
  <c r="AJ64" i="81"/>
  <c r="AJ66" i="81"/>
  <c r="AJ45" i="81"/>
  <c r="G23" i="81"/>
  <c r="G46" i="81"/>
  <c r="AJ51" i="81"/>
  <c r="AK30" i="81"/>
  <c r="G29" i="81"/>
  <c r="G19" i="81"/>
  <c r="AJ35" i="81"/>
  <c r="G22" i="81"/>
  <c r="AJ22" i="81"/>
  <c r="AJ46" i="81"/>
  <c r="G26" i="81"/>
  <c r="G31" i="81"/>
  <c r="AL12" i="81"/>
  <c r="AJ43" i="81"/>
  <c r="G33" i="81"/>
  <c r="AJ59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15" i="80"/>
  <c r="AL45" i="81"/>
  <c r="AK43" i="81"/>
  <c r="G25" i="80"/>
  <c r="G27" i="80"/>
  <c r="AL9" i="81"/>
  <c r="E41" i="81"/>
  <c r="AL21" i="81"/>
  <c r="AJ34" i="80"/>
  <c r="E15" i="81"/>
  <c r="AJ23" i="80"/>
  <c r="AJ7" i="80"/>
  <c r="E8" i="81"/>
  <c r="AK33" i="81"/>
  <c r="AK45" i="81"/>
  <c r="G11" i="80"/>
  <c r="AJ39" i="80"/>
  <c r="E45" i="81"/>
  <c r="E44" i="81"/>
  <c r="AL37" i="81"/>
  <c r="AK11" i="81"/>
  <c r="E29" i="81"/>
  <c r="AL11" i="81"/>
  <c r="AJ22" i="80"/>
  <c r="E37" i="81"/>
  <c r="G45" i="80"/>
  <c r="AJ53" i="80"/>
  <c r="E9" i="81"/>
  <c r="AK40" i="81"/>
  <c r="E38" i="81"/>
  <c r="G39" i="80"/>
  <c r="AK10" i="81"/>
  <c r="E23" i="81"/>
  <c r="G49" i="80"/>
  <c r="E31" i="81"/>
  <c r="E34" i="81"/>
  <c r="AL49" i="81"/>
  <c r="AL39" i="81"/>
  <c r="AL16" i="81"/>
  <c r="G31" i="80"/>
  <c r="AJ38" i="80"/>
  <c r="AL32" i="81"/>
  <c r="AK16" i="81"/>
  <c r="AL23" i="81"/>
  <c r="AL33" i="81"/>
  <c r="E17" i="81"/>
  <c r="AJ12" i="80"/>
  <c r="G19" i="80"/>
  <c r="AJ51" i="80"/>
  <c r="E49" i="81"/>
  <c r="E32" i="81"/>
  <c r="AL15" i="81"/>
  <c r="AJ45" i="80"/>
  <c r="AK35" i="81"/>
  <c r="G37" i="80"/>
  <c r="G26" i="80"/>
  <c r="E6" i="79"/>
  <c r="AL44" i="81"/>
  <c r="AK9" i="81"/>
  <c r="AL17" i="81"/>
  <c r="G46" i="80"/>
  <c r="E50" i="81"/>
  <c r="AJ17" i="80"/>
  <c r="AL7" i="81"/>
  <c r="AL43" i="81"/>
  <c r="AL14" i="81"/>
  <c r="G10" i="80"/>
  <c r="G12" i="80"/>
  <c r="AK48" i="81"/>
  <c r="AL25" i="81"/>
  <c r="E43" i="81"/>
  <c r="G8" i="80"/>
  <c r="AL24" i="81"/>
  <c r="AK19" i="81"/>
  <c r="G22" i="80"/>
  <c r="AJ65" i="80"/>
  <c r="AJ56" i="80"/>
  <c r="AL47" i="81"/>
  <c r="AL26" i="81"/>
  <c r="AL20" i="81"/>
  <c r="AJ35" i="80"/>
  <c r="AJ25" i="80"/>
  <c r="AJ9" i="80"/>
  <c r="G9" i="80"/>
  <c r="E28" i="81"/>
  <c r="AL8" i="81"/>
  <c r="AK8" i="81"/>
  <c r="G43" i="80"/>
  <c r="AL18" i="81"/>
  <c r="E14" i="81"/>
  <c r="AJ62" i="80"/>
  <c r="AJ41" i="80"/>
  <c r="E24" i="81"/>
  <c r="AJ59" i="80"/>
  <c r="AJ11" i="80"/>
  <c r="AJ21" i="80"/>
  <c r="G20" i="80"/>
  <c r="G38" i="80"/>
  <c r="AK22" i="81"/>
  <c r="AL46" i="81"/>
  <c r="E21" i="81"/>
  <c r="AL29" i="81"/>
  <c r="AK20" i="81"/>
  <c r="G44" i="80"/>
  <c r="AJ46" i="80"/>
  <c r="G61" i="80"/>
  <c r="AJ37" i="80"/>
  <c r="G30" i="80"/>
  <c r="G14" i="80"/>
  <c r="G42" i="80"/>
  <c r="E48" i="81"/>
  <c r="AK13" i="81"/>
  <c r="AJ20" i="80"/>
  <c r="G41" i="80"/>
  <c r="AK28" i="81"/>
  <c r="E19" i="81"/>
  <c r="G18" i="80"/>
  <c r="AK44" i="81"/>
  <c r="AL28" i="81"/>
  <c r="AL41" i="81"/>
  <c r="AJ66" i="80"/>
  <c r="AJ57" i="80"/>
  <c r="AJ24" i="80"/>
  <c r="AL19" i="81"/>
  <c r="E26" i="81"/>
  <c r="AJ13" i="80"/>
  <c r="AJ19" i="80"/>
  <c r="AJ18" i="80"/>
  <c r="AK29" i="81"/>
  <c r="AJ14" i="80"/>
  <c r="AJ48" i="80"/>
  <c r="G32" i="80"/>
  <c r="G33" i="80"/>
  <c r="AJ40" i="80"/>
  <c r="E20" i="81"/>
  <c r="AJ26" i="80"/>
  <c r="G7" i="80"/>
  <c r="E13" i="81"/>
  <c r="G47" i="80"/>
  <c r="AJ44" i="80"/>
  <c r="G16" i="80"/>
  <c r="AK24" i="81"/>
  <c r="AK39" i="81"/>
  <c r="AK17" i="81"/>
  <c r="E27" i="81"/>
  <c r="AK26" i="81"/>
  <c r="E30" i="81"/>
  <c r="AJ42" i="80"/>
  <c r="AJ67" i="80"/>
  <c r="E16" i="81"/>
  <c r="AJ33" i="80"/>
  <c r="G13" i="80"/>
  <c r="E47" i="81"/>
  <c r="AK27" i="81"/>
  <c r="E42" i="81"/>
  <c r="G15" i="80"/>
  <c r="AK18" i="81"/>
  <c r="E61" i="81"/>
  <c r="AJ60" i="80"/>
  <c r="AJ16" i="80"/>
  <c r="G40" i="80"/>
  <c r="E12" i="81"/>
  <c r="AK32" i="81"/>
  <c r="AL34" i="81"/>
  <c r="AK15" i="81"/>
  <c r="AK21" i="81"/>
  <c r="G23" i="80"/>
  <c r="E22" i="81"/>
  <c r="AJ43" i="80"/>
  <c r="G21" i="80"/>
  <c r="E36" i="81"/>
  <c r="AJ28" i="80"/>
  <c r="E18" i="81"/>
  <c r="AJ52" i="80"/>
  <c r="AK49" i="81"/>
  <c r="AJ31" i="80"/>
  <c r="AK25" i="81"/>
  <c r="AJ50" i="80"/>
  <c r="G36" i="80"/>
  <c r="AJ8" i="80"/>
  <c r="AJ63" i="80"/>
  <c r="AK42" i="81"/>
  <c r="AK61" i="81"/>
  <c r="AL22" i="81"/>
  <c r="G29" i="80"/>
  <c r="AK37" i="81"/>
  <c r="AL61" i="81"/>
  <c r="E33" i="81"/>
  <c r="AL40" i="81"/>
  <c r="AJ36" i="80"/>
  <c r="AK38" i="81"/>
  <c r="AK41" i="81"/>
  <c r="AL27" i="81"/>
  <c r="G34" i="80"/>
  <c r="G50" i="80"/>
  <c r="AL42" i="81"/>
  <c r="AK50" i="81"/>
  <c r="AJ54" i="80"/>
  <c r="AL10" i="81"/>
  <c r="E46" i="81"/>
  <c r="AJ55" i="80"/>
  <c r="AK14" i="81"/>
  <c r="AL50" i="81"/>
  <c r="AJ13" i="79"/>
  <c r="AJ49" i="80"/>
  <c r="AJ64" i="80"/>
  <c r="G17" i="80"/>
  <c r="AJ61" i="80"/>
  <c r="G24" i="80"/>
  <c r="E35" i="81"/>
  <c r="G35" i="80"/>
  <c r="AL38" i="81"/>
  <c r="AK46" i="81"/>
  <c r="AK23" i="81"/>
  <c r="E40" i="81"/>
  <c r="AL31" i="81"/>
  <c r="E10" i="81"/>
  <c r="G48" i="80"/>
  <c r="AL35" i="81"/>
  <c r="AK34" i="81"/>
  <c r="AL13" i="81"/>
  <c r="G28" i="80"/>
  <c r="AK31" i="81"/>
  <c r="AJ30" i="80"/>
  <c r="AJ10" i="80"/>
  <c r="AJ47" i="80"/>
  <c r="AK36" i="81"/>
  <c r="E11" i="81"/>
  <c r="AK7" i="81"/>
  <c r="AJ58" i="80"/>
  <c r="AL48" i="81"/>
  <c r="AJ32" i="80"/>
  <c r="AK47" i="81"/>
  <c r="AJ29" i="80"/>
  <c r="AL36" i="81"/>
  <c r="AJ27" i="80"/>
  <c r="E25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AJ2" i="78"/>
  <c r="E2" i="78"/>
  <c r="E3" i="78" s="1"/>
  <c r="A1" i="78"/>
  <c r="BH7" i="81" l="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J46" i="79"/>
  <c r="AK18" i="80"/>
  <c r="AL30" i="80"/>
  <c r="G20" i="79"/>
  <c r="G48" i="79"/>
  <c r="G42" i="79"/>
  <c r="E12" i="80"/>
  <c r="AK35" i="80"/>
  <c r="AJ37" i="79"/>
  <c r="G7" i="79"/>
  <c r="G19" i="79"/>
  <c r="AL41" i="80"/>
  <c r="AL13" i="80"/>
  <c r="AK15" i="80"/>
  <c r="AK38" i="80"/>
  <c r="AL20" i="80"/>
  <c r="AK20" i="80"/>
  <c r="AJ27" i="79"/>
  <c r="AK30" i="80"/>
  <c r="AL31" i="80"/>
  <c r="AK23" i="80"/>
  <c r="AK29" i="80"/>
  <c r="G12" i="79"/>
  <c r="AJ23" i="79"/>
  <c r="E42" i="80"/>
  <c r="G27" i="79"/>
  <c r="AJ41" i="79"/>
  <c r="G9" i="79"/>
  <c r="AJ30" i="79"/>
  <c r="AL49" i="80"/>
  <c r="AJ32" i="79"/>
  <c r="AK33" i="80"/>
  <c r="G50" i="79"/>
  <c r="AJ51" i="79"/>
  <c r="G11" i="79"/>
  <c r="E43" i="80"/>
  <c r="AK44" i="80"/>
  <c r="AL9" i="80"/>
  <c r="E25" i="80"/>
  <c r="AJ8" i="79"/>
  <c r="AL32" i="80"/>
  <c r="AL40" i="80"/>
  <c r="AJ33" i="79"/>
  <c r="AK19" i="80"/>
  <c r="G13" i="79"/>
  <c r="AJ19" i="79"/>
  <c r="AL10" i="80"/>
  <c r="AL46" i="80"/>
  <c r="AK28" i="80"/>
  <c r="G23" i="79"/>
  <c r="E31" i="80"/>
  <c r="AJ15" i="79"/>
  <c r="AK34" i="80"/>
  <c r="E36" i="80"/>
  <c r="G45" i="79"/>
  <c r="AJ67" i="79"/>
  <c r="G17" i="79"/>
  <c r="AK31" i="80"/>
  <c r="G44" i="79"/>
  <c r="AK24" i="80"/>
  <c r="AL26" i="80"/>
  <c r="E24" i="80"/>
  <c r="AJ50" i="79"/>
  <c r="G15" i="79"/>
  <c r="G8" i="79"/>
  <c r="AK14" i="80"/>
  <c r="G14" i="79"/>
  <c r="AL42" i="80"/>
  <c r="AK61" i="80"/>
  <c r="AL50" i="80"/>
  <c r="E17" i="80"/>
  <c r="E49" i="80"/>
  <c r="E10" i="80"/>
  <c r="AL21" i="80"/>
  <c r="AJ25" i="79"/>
  <c r="AL25" i="80"/>
  <c r="E6" i="78"/>
  <c r="AJ58" i="79"/>
  <c r="E22" i="80"/>
  <c r="E47" i="80"/>
  <c r="AK43" i="80"/>
  <c r="AK21" i="80"/>
  <c r="AL37" i="80"/>
  <c r="AL48" i="80"/>
  <c r="G25" i="79"/>
  <c r="AJ12" i="79"/>
  <c r="AK13" i="79"/>
  <c r="G61" i="79"/>
  <c r="E41" i="80"/>
  <c r="AJ21" i="79"/>
  <c r="AJ28" i="79"/>
  <c r="AJ10" i="79"/>
  <c r="G37" i="79"/>
  <c r="G40" i="79"/>
  <c r="AK45" i="80"/>
  <c r="G32" i="79"/>
  <c r="AJ36" i="79"/>
  <c r="AJ56" i="79"/>
  <c r="AJ16" i="79"/>
  <c r="AJ55" i="79"/>
  <c r="AK17" i="80"/>
  <c r="E16" i="80"/>
  <c r="E38" i="80"/>
  <c r="AJ11" i="79"/>
  <c r="AJ7" i="78"/>
  <c r="AJ59" i="79"/>
  <c r="AJ7" i="79"/>
  <c r="G31" i="79"/>
  <c r="AJ61" i="79"/>
  <c r="G24" i="79"/>
  <c r="AL47" i="80"/>
  <c r="G34" i="79"/>
  <c r="AK27" i="80"/>
  <c r="AK41" i="80"/>
  <c r="AL61" i="80"/>
  <c r="AK50" i="80"/>
  <c r="AL18" i="80"/>
  <c r="G33" i="79"/>
  <c r="G26" i="79"/>
  <c r="E32" i="80"/>
  <c r="G21" i="79"/>
  <c r="AL33" i="80"/>
  <c r="AK47" i="80"/>
  <c r="E34" i="80"/>
  <c r="AL16" i="80"/>
  <c r="AL19" i="80"/>
  <c r="E40" i="80"/>
  <c r="E23" i="80"/>
  <c r="AL29" i="80"/>
  <c r="E27" i="80"/>
  <c r="G18" i="79"/>
  <c r="AJ45" i="79"/>
  <c r="AJ48" i="79"/>
  <c r="AK46" i="80"/>
  <c r="AJ31" i="79"/>
  <c r="AJ63" i="79"/>
  <c r="G30" i="79"/>
  <c r="AJ26" i="79"/>
  <c r="AK37" i="80"/>
  <c r="AL39" i="80"/>
  <c r="AJ40" i="79"/>
  <c r="E11" i="80"/>
  <c r="G39" i="79"/>
  <c r="AJ52" i="79"/>
  <c r="E15" i="80"/>
  <c r="E35" i="80"/>
  <c r="E28" i="80"/>
  <c r="G10" i="79"/>
  <c r="AK7" i="80"/>
  <c r="AK26" i="80"/>
  <c r="E19" i="80"/>
  <c r="AK25" i="80"/>
  <c r="AL22" i="80"/>
  <c r="AL27" i="80"/>
  <c r="AK40" i="80"/>
  <c r="G16" i="79"/>
  <c r="E48" i="80"/>
  <c r="AJ54" i="79"/>
  <c r="AJ18" i="79"/>
  <c r="AL15" i="80"/>
  <c r="AK9" i="80"/>
  <c r="E50" i="80"/>
  <c r="E33" i="80"/>
  <c r="AK22" i="80"/>
  <c r="G36" i="79"/>
  <c r="AL43" i="80"/>
  <c r="AL28" i="80"/>
  <c r="E29" i="80"/>
  <c r="AL14" i="80"/>
  <c r="AJ39" i="79"/>
  <c r="AJ64" i="79"/>
  <c r="E37" i="80"/>
  <c r="E9" i="80"/>
  <c r="AJ43" i="79"/>
  <c r="E45" i="80"/>
  <c r="G29" i="79"/>
  <c r="AK48" i="80"/>
  <c r="AK16" i="80"/>
  <c r="AJ49" i="79"/>
  <c r="AL12" i="80"/>
  <c r="AJ20" i="79"/>
  <c r="G47" i="79"/>
  <c r="AJ57" i="79"/>
  <c r="G41" i="79"/>
  <c r="AK11" i="80"/>
  <c r="G43" i="79"/>
  <c r="AK36" i="80"/>
  <c r="AL35" i="80"/>
  <c r="E44" i="80"/>
  <c r="AJ38" i="79"/>
  <c r="AL36" i="80"/>
  <c r="G35" i="79"/>
  <c r="AK8" i="80"/>
  <c r="AL34" i="80"/>
  <c r="AJ34" i="79"/>
  <c r="AJ24" i="79"/>
  <c r="E39" i="80"/>
  <c r="E21" i="80"/>
  <c r="AL44" i="80"/>
  <c r="AK39" i="80"/>
  <c r="AJ44" i="79"/>
  <c r="AJ29" i="79"/>
  <c r="AJ65" i="79"/>
  <c r="AJ9" i="79"/>
  <c r="AK10" i="80"/>
  <c r="G38" i="79"/>
  <c r="AJ53" i="79"/>
  <c r="AJ17" i="79"/>
  <c r="AJ42" i="79"/>
  <c r="AJ14" i="79"/>
  <c r="AL24" i="80"/>
  <c r="AK42" i="80"/>
  <c r="G49" i="79"/>
  <c r="G22" i="79"/>
  <c r="AL23" i="80"/>
  <c r="E20" i="80"/>
  <c r="E13" i="80"/>
  <c r="AL7" i="80"/>
  <c r="AJ66" i="79"/>
  <c r="AL17" i="80"/>
  <c r="G28" i="79"/>
  <c r="AK13" i="80"/>
  <c r="AJ62" i="79"/>
  <c r="AJ35" i="79"/>
  <c r="E18" i="80"/>
  <c r="AK49" i="80"/>
  <c r="E30" i="80"/>
  <c r="AK32" i="80"/>
  <c r="E8" i="80"/>
  <c r="AL38" i="80"/>
  <c r="G46" i="79"/>
  <c r="E14" i="80"/>
  <c r="AL45" i="80"/>
  <c r="E26" i="80"/>
  <c r="AJ22" i="79"/>
  <c r="AK12" i="80"/>
  <c r="E46" i="80"/>
  <c r="E61" i="80"/>
  <c r="AL8" i="80"/>
  <c r="AL11" i="80"/>
  <c r="E7" i="80"/>
  <c r="AJ60" i="79"/>
  <c r="AJ47" i="79"/>
  <c r="AL13" i="79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R14" i="80" s="1"/>
  <c r="S12" i="80" s="1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E43" i="79"/>
  <c r="AK16" i="79"/>
  <c r="G42" i="78"/>
  <c r="AK14" i="79"/>
  <c r="AL17" i="79"/>
  <c r="E13" i="79"/>
  <c r="AJ27" i="78"/>
  <c r="AK20" i="79"/>
  <c r="G39" i="78"/>
  <c r="AJ17" i="78"/>
  <c r="AK38" i="79"/>
  <c r="AL49" i="79"/>
  <c r="E44" i="79"/>
  <c r="AL24" i="79"/>
  <c r="AJ8" i="78"/>
  <c r="AL30" i="79"/>
  <c r="AL31" i="79"/>
  <c r="E30" i="79"/>
  <c r="AK22" i="79"/>
  <c r="G29" i="78"/>
  <c r="E36" i="79"/>
  <c r="AL28" i="79"/>
  <c r="AJ23" i="78"/>
  <c r="AJ47" i="78"/>
  <c r="AK10" i="79"/>
  <c r="AJ62" i="78"/>
  <c r="AL38" i="79"/>
  <c r="E10" i="79"/>
  <c r="E48" i="79"/>
  <c r="E21" i="79"/>
  <c r="E46" i="79"/>
  <c r="E35" i="79"/>
  <c r="E14" i="79"/>
  <c r="E42" i="79"/>
  <c r="E8" i="79"/>
  <c r="AL27" i="79"/>
  <c r="E20" i="79"/>
  <c r="G49" i="78"/>
  <c r="G40" i="78"/>
  <c r="AL25" i="79"/>
  <c r="E33" i="79"/>
  <c r="AL40" i="79"/>
  <c r="AJ42" i="78"/>
  <c r="AJ15" i="78"/>
  <c r="G12" i="78"/>
  <c r="G19" i="78"/>
  <c r="AK18" i="79"/>
  <c r="AJ54" i="78"/>
  <c r="G8" i="78"/>
  <c r="AL29" i="79"/>
  <c r="AL18" i="79"/>
  <c r="E19" i="79"/>
  <c r="AL47" i="79"/>
  <c r="AJ44" i="78"/>
  <c r="E29" i="79"/>
  <c r="AK36" i="79"/>
  <c r="AL33" i="79"/>
  <c r="G45" i="78"/>
  <c r="G27" i="78"/>
  <c r="AJ39" i="78"/>
  <c r="AK17" i="79"/>
  <c r="AJ63" i="78"/>
  <c r="AJ29" i="78"/>
  <c r="AL39" i="79"/>
  <c r="AJ57" i="78"/>
  <c r="G34" i="78"/>
  <c r="E16" i="79"/>
  <c r="AL35" i="79"/>
  <c r="AL23" i="79"/>
  <c r="AK40" i="79"/>
  <c r="G23" i="78"/>
  <c r="AL22" i="79"/>
  <c r="AL26" i="79"/>
  <c r="AL48" i="79"/>
  <c r="AJ33" i="78"/>
  <c r="E34" i="79"/>
  <c r="AJ43" i="78"/>
  <c r="AJ12" i="78"/>
  <c r="G10" i="78"/>
  <c r="E39" i="79"/>
  <c r="AK8" i="79"/>
  <c r="AK21" i="79"/>
  <c r="AL10" i="79"/>
  <c r="E9" i="79"/>
  <c r="AJ46" i="78"/>
  <c r="E24" i="79"/>
  <c r="AK42" i="79"/>
  <c r="AJ40" i="78"/>
  <c r="AK41" i="79"/>
  <c r="G36" i="78"/>
  <c r="G33" i="78"/>
  <c r="AJ37" i="78"/>
  <c r="AJ59" i="78"/>
  <c r="G11" i="78"/>
  <c r="AK29" i="79"/>
  <c r="G43" i="78"/>
  <c r="AJ24" i="78"/>
  <c r="E41" i="79"/>
  <c r="G61" i="78"/>
  <c r="AL32" i="79"/>
  <c r="AK31" i="79"/>
  <c r="AK30" i="79"/>
  <c r="E22" i="79"/>
  <c r="E27" i="79"/>
  <c r="AJ14" i="78"/>
  <c r="G7" i="78"/>
  <c r="AJ25" i="78"/>
  <c r="AK23" i="79"/>
  <c r="E15" i="79"/>
  <c r="E25" i="79"/>
  <c r="AK19" i="79"/>
  <c r="AK48" i="79"/>
  <c r="E45" i="79"/>
  <c r="E28" i="79"/>
  <c r="AJ36" i="78"/>
  <c r="AL15" i="79"/>
  <c r="AJ67" i="78"/>
  <c r="AK33" i="79"/>
  <c r="AL61" i="79"/>
  <c r="AL36" i="79"/>
  <c r="AJ9" i="78"/>
  <c r="AJ26" i="78"/>
  <c r="AK39" i="79"/>
  <c r="G31" i="78"/>
  <c r="AJ48" i="78"/>
  <c r="AK9" i="79"/>
  <c r="G14" i="78"/>
  <c r="AJ41" i="78"/>
  <c r="G13" i="78"/>
  <c r="E23" i="79"/>
  <c r="AJ49" i="78"/>
  <c r="AL7" i="79"/>
  <c r="AJ50" i="78"/>
  <c r="AK25" i="79"/>
  <c r="E49" i="79"/>
  <c r="AK45" i="79"/>
  <c r="E7" i="79"/>
  <c r="AJ34" i="78"/>
  <c r="AK28" i="79"/>
  <c r="AJ28" i="78"/>
  <c r="AL16" i="79"/>
  <c r="AJ51" i="78"/>
  <c r="AK32" i="79"/>
  <c r="E26" i="79"/>
  <c r="AK11" i="79"/>
  <c r="G32" i="78"/>
  <c r="G16" i="78"/>
  <c r="AJ58" i="78"/>
  <c r="E32" i="79"/>
  <c r="AJ60" i="78"/>
  <c r="G25" i="78"/>
  <c r="AL19" i="79"/>
  <c r="G44" i="78"/>
  <c r="AK15" i="79"/>
  <c r="E12" i="79"/>
  <c r="AJ35" i="78"/>
  <c r="G37" i="78"/>
  <c r="AJ22" i="78"/>
  <c r="AL20" i="79"/>
  <c r="AJ10" i="78"/>
  <c r="AJ19" i="78"/>
  <c r="AL7" i="78"/>
  <c r="AJ64" i="78"/>
  <c r="AJ31" i="78"/>
  <c r="G46" i="78"/>
  <c r="AK34" i="79"/>
  <c r="AJ38" i="78"/>
  <c r="AJ65" i="78"/>
  <c r="G41" i="78"/>
  <c r="AK49" i="79"/>
  <c r="E50" i="79"/>
  <c r="AJ55" i="78"/>
  <c r="AJ11" i="78"/>
  <c r="G48" i="78"/>
  <c r="AL8" i="79"/>
  <c r="G15" i="78"/>
  <c r="AK37" i="79"/>
  <c r="G47" i="78"/>
  <c r="G50" i="78"/>
  <c r="AJ18" i="78"/>
  <c r="G24" i="78"/>
  <c r="AL14" i="79"/>
  <c r="AL45" i="79"/>
  <c r="AL46" i="79"/>
  <c r="G38" i="78"/>
  <c r="AK44" i="79"/>
  <c r="G17" i="78"/>
  <c r="AK26" i="79"/>
  <c r="AK35" i="79"/>
  <c r="E40" i="79"/>
  <c r="E37" i="79"/>
  <c r="AJ13" i="78"/>
  <c r="G9" i="78"/>
  <c r="E18" i="79"/>
  <c r="E47" i="79"/>
  <c r="AJ32" i="78"/>
  <c r="AJ53" i="78"/>
  <c r="AK7" i="79"/>
  <c r="AK61" i="79"/>
  <c r="AK24" i="79"/>
  <c r="AL34" i="79"/>
  <c r="G21" i="78"/>
  <c r="AL42" i="79"/>
  <c r="E61" i="79"/>
  <c r="G30" i="78"/>
  <c r="E31" i="79"/>
  <c r="E17" i="79"/>
  <c r="AJ20" i="78"/>
  <c r="AK43" i="79"/>
  <c r="AK7" i="78"/>
  <c r="AJ30" i="78"/>
  <c r="G18" i="78"/>
  <c r="G22" i="78"/>
  <c r="AJ21" i="78"/>
  <c r="AJ66" i="78"/>
  <c r="AL11" i="79"/>
  <c r="G28" i="78"/>
  <c r="AL37" i="79"/>
  <c r="AJ52" i="78"/>
  <c r="AK27" i="79"/>
  <c r="AL9" i="79"/>
  <c r="AK47" i="79"/>
  <c r="AL12" i="79"/>
  <c r="E11" i="79"/>
  <c r="AL21" i="79"/>
  <c r="AL41" i="79"/>
  <c r="AL44" i="79"/>
  <c r="G26" i="78"/>
  <c r="AL50" i="79"/>
  <c r="AL43" i="79"/>
  <c r="AJ61" i="78"/>
  <c r="AJ16" i="78"/>
  <c r="AK12" i="79"/>
  <c r="AJ56" i="78"/>
  <c r="G35" i="78"/>
  <c r="E38" i="79"/>
  <c r="G20" i="78"/>
  <c r="AK50" i="79"/>
  <c r="AK46" i="79"/>
  <c r="AJ45" i="78"/>
  <c r="BD11" i="7"/>
  <c r="O14" i="80" l="1"/>
  <c r="P8" i="80" s="1"/>
  <c r="BW58" i="5"/>
  <c r="BX58" i="5"/>
  <c r="AA13" i="80"/>
  <c r="AA9" i="80"/>
  <c r="AA12" i="80"/>
  <c r="U14" i="80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9" i="78"/>
  <c r="E41" i="78"/>
  <c r="AL9" i="78"/>
  <c r="AK38" i="78"/>
  <c r="AK28" i="78"/>
  <c r="AK30" i="78"/>
  <c r="E29" i="78"/>
  <c r="E38" i="78"/>
  <c r="AK20" i="78"/>
  <c r="AL23" i="78"/>
  <c r="AL10" i="78"/>
  <c r="E23" i="78"/>
  <c r="E10" i="78"/>
  <c r="AK12" i="78"/>
  <c r="AL22" i="78"/>
  <c r="E27" i="78"/>
  <c r="E28" i="78"/>
  <c r="E48" i="78"/>
  <c r="E7" i="78"/>
  <c r="AJ8" i="76"/>
  <c r="E32" i="78"/>
  <c r="E36" i="78"/>
  <c r="E47" i="78"/>
  <c r="AK11" i="78"/>
  <c r="AK16" i="78"/>
  <c r="E39" i="78"/>
  <c r="AL11" i="78"/>
  <c r="E61" i="78"/>
  <c r="E34" i="78"/>
  <c r="AK9" i="78"/>
  <c r="E17" i="78"/>
  <c r="AK22" i="78"/>
  <c r="AL21" i="78"/>
  <c r="E13" i="78"/>
  <c r="AK26" i="78"/>
  <c r="AK41" i="78"/>
  <c r="AL12" i="78"/>
  <c r="AL49" i="78"/>
  <c r="AL18" i="78"/>
  <c r="E12" i="78"/>
  <c r="AK35" i="78"/>
  <c r="AK45" i="78"/>
  <c r="AL48" i="78"/>
  <c r="AK39" i="78"/>
  <c r="AL42" i="78"/>
  <c r="AK34" i="78"/>
  <c r="AL31" i="78"/>
  <c r="AK50" i="78"/>
  <c r="AK42" i="78"/>
  <c r="AK23" i="78"/>
  <c r="E35" i="78"/>
  <c r="AK13" i="78"/>
  <c r="AK49" i="78"/>
  <c r="E6" i="76"/>
  <c r="AL20" i="78"/>
  <c r="AL36" i="78"/>
  <c r="AL14" i="78"/>
  <c r="AK48" i="78"/>
  <c r="E33" i="78"/>
  <c r="AL41" i="78"/>
  <c r="E50" i="78"/>
  <c r="AL40" i="78"/>
  <c r="E40" i="78"/>
  <c r="E11" i="78"/>
  <c r="AL27" i="78"/>
  <c r="AL29" i="78"/>
  <c r="E37" i="78"/>
  <c r="E42" i="78"/>
  <c r="E44" i="78"/>
  <c r="E8" i="78"/>
  <c r="AK36" i="78"/>
  <c r="AL46" i="78"/>
  <c r="E15" i="78"/>
  <c r="AK31" i="78"/>
  <c r="AL30" i="78"/>
  <c r="E21" i="78"/>
  <c r="AK24" i="78"/>
  <c r="E18" i="78"/>
  <c r="AK46" i="78"/>
  <c r="AK47" i="78"/>
  <c r="AL19" i="78"/>
  <c r="AK61" i="78"/>
  <c r="E14" i="78"/>
  <c r="E20" i="78"/>
  <c r="AK40" i="78"/>
  <c r="AL39" i="78"/>
  <c r="AL35" i="78"/>
  <c r="AL47" i="78"/>
  <c r="E45" i="78"/>
  <c r="AK21" i="78"/>
  <c r="AK17" i="78"/>
  <c r="AL26" i="78"/>
  <c r="AL43" i="78"/>
  <c r="AL28" i="78"/>
  <c r="AL61" i="78"/>
  <c r="AK27" i="78"/>
  <c r="E16" i="78"/>
  <c r="AL37" i="78"/>
  <c r="AK15" i="78"/>
  <c r="E30" i="78"/>
  <c r="AK10" i="78"/>
  <c r="E25" i="78"/>
  <c r="AL16" i="78"/>
  <c r="AK37" i="78"/>
  <c r="AK33" i="78"/>
  <c r="E49" i="78"/>
  <c r="E31" i="78"/>
  <c r="AL44" i="78"/>
  <c r="AK32" i="78"/>
  <c r="E22" i="78"/>
  <c r="AK18" i="78"/>
  <c r="AK8" i="78"/>
  <c r="AL17" i="78"/>
  <c r="AK43" i="78"/>
  <c r="AK29" i="78"/>
  <c r="AL32" i="78"/>
  <c r="E43" i="78"/>
  <c r="AK14" i="78"/>
  <c r="AL24" i="78"/>
  <c r="AK44" i="78"/>
  <c r="AL33" i="78"/>
  <c r="AL34" i="78"/>
  <c r="E26" i="78"/>
  <c r="AL38" i="78"/>
  <c r="AL15" i="78"/>
  <c r="AL50" i="78"/>
  <c r="AL13" i="78"/>
  <c r="E24" i="78"/>
  <c r="AK19" i="78"/>
  <c r="AK25" i="78"/>
  <c r="AL25" i="78"/>
  <c r="E19" i="78"/>
  <c r="AL45" i="78"/>
  <c r="AL8" i="78"/>
  <c r="E46" i="78"/>
  <c r="AA14" i="80" l="1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4" i="76"/>
  <c r="G39" i="76"/>
  <c r="G15" i="76"/>
  <c r="AJ30" i="76"/>
  <c r="G29" i="76"/>
  <c r="AJ7" i="76"/>
  <c r="AJ55" i="76"/>
  <c r="G19" i="76"/>
  <c r="G13" i="76"/>
  <c r="G8" i="76"/>
  <c r="G33" i="76"/>
  <c r="AJ20" i="75"/>
  <c r="AJ25" i="76"/>
  <c r="AJ36" i="76"/>
  <c r="AJ62" i="76"/>
  <c r="AJ9" i="76"/>
  <c r="AJ11" i="76"/>
  <c r="G31" i="76"/>
  <c r="G9" i="76"/>
  <c r="AJ47" i="76"/>
  <c r="G47" i="76"/>
  <c r="AJ13" i="76"/>
  <c r="AJ63" i="76"/>
  <c r="G36" i="76"/>
  <c r="AJ18" i="75"/>
  <c r="AJ54" i="76"/>
  <c r="AJ17" i="76"/>
  <c r="G40" i="76"/>
  <c r="G20" i="76"/>
  <c r="AJ29" i="76"/>
  <c r="AJ26" i="76"/>
  <c r="G26" i="76"/>
  <c r="G35" i="76"/>
  <c r="G18" i="76"/>
  <c r="G21" i="76"/>
  <c r="G44" i="76"/>
  <c r="AJ52" i="76"/>
  <c r="G34" i="76"/>
  <c r="G14" i="76"/>
  <c r="AJ12" i="76"/>
  <c r="AJ38" i="76"/>
  <c r="AJ59" i="76"/>
  <c r="AJ28" i="76"/>
  <c r="AJ61" i="76"/>
  <c r="AJ20" i="76"/>
  <c r="G49" i="76"/>
  <c r="AJ37" i="76"/>
  <c r="AJ10" i="76"/>
  <c r="G41" i="76"/>
  <c r="G30" i="76"/>
  <c r="AK8" i="76"/>
  <c r="G61" i="76"/>
  <c r="AJ41" i="76"/>
  <c r="AL8" i="76"/>
  <c r="AJ35" i="76"/>
  <c r="AJ65" i="76"/>
  <c r="G22" i="76"/>
  <c r="G37" i="76"/>
  <c r="AJ19" i="76"/>
  <c r="G16" i="76"/>
  <c r="AJ23" i="76"/>
  <c r="AJ50" i="76"/>
  <c r="AJ21" i="76"/>
  <c r="G48" i="76"/>
  <c r="G50" i="76"/>
  <c r="AJ14" i="76"/>
  <c r="AJ49" i="76"/>
  <c r="G43" i="76"/>
  <c r="AJ42" i="76"/>
  <c r="G45" i="76"/>
  <c r="AJ64" i="76"/>
  <c r="AJ45" i="76"/>
  <c r="AJ58" i="76"/>
  <c r="AJ31" i="76"/>
  <c r="G32" i="76"/>
  <c r="G42" i="76"/>
  <c r="E6" i="75"/>
  <c r="AJ67" i="76"/>
  <c r="AJ15" i="76"/>
  <c r="AJ16" i="76"/>
  <c r="AJ43" i="76"/>
  <c r="AJ27" i="76"/>
  <c r="AJ18" i="76"/>
  <c r="G23" i="76"/>
  <c r="AJ33" i="76"/>
  <c r="G10" i="76"/>
  <c r="AJ48" i="76"/>
  <c r="AJ39" i="76"/>
  <c r="G28" i="76"/>
  <c r="AJ51" i="76"/>
  <c r="AJ34" i="76"/>
  <c r="AJ57" i="76"/>
  <c r="G11" i="76"/>
  <c r="G25" i="76"/>
  <c r="AJ32" i="76"/>
  <c r="G12" i="76"/>
  <c r="AJ60" i="76"/>
  <c r="G38" i="76"/>
  <c r="AJ53" i="76"/>
  <c r="G24" i="76"/>
  <c r="G7" i="76"/>
  <c r="AJ56" i="76"/>
  <c r="AJ40" i="76"/>
  <c r="AJ22" i="76"/>
  <c r="G46" i="76"/>
  <c r="AJ24" i="76"/>
  <c r="G27" i="76"/>
  <c r="G17" i="76"/>
  <c r="AJ46" i="76"/>
  <c r="AJ66" i="76"/>
  <c r="G15" i="75"/>
  <c r="BG23" i="85" l="1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48" i="76"/>
  <c r="AK40" i="76"/>
  <c r="AJ55" i="75"/>
  <c r="AL39" i="76"/>
  <c r="G35" i="75"/>
  <c r="AJ62" i="75"/>
  <c r="AK41" i="76"/>
  <c r="G49" i="75"/>
  <c r="AJ30" i="75"/>
  <c r="AL34" i="76"/>
  <c r="AJ51" i="75"/>
  <c r="AJ31" i="75"/>
  <c r="AK49" i="76"/>
  <c r="E44" i="76"/>
  <c r="AJ10" i="75"/>
  <c r="G61" i="75"/>
  <c r="G52" i="75"/>
  <c r="AL28" i="76"/>
  <c r="AJ47" i="75"/>
  <c r="G11" i="75"/>
  <c r="AK50" i="76"/>
  <c r="G27" i="75"/>
  <c r="AJ11" i="75"/>
  <c r="AJ21" i="75"/>
  <c r="E41" i="76"/>
  <c r="AL17" i="76"/>
  <c r="E7" i="76"/>
  <c r="AJ36" i="75"/>
  <c r="AL47" i="76"/>
  <c r="AK9" i="76"/>
  <c r="G7" i="75"/>
  <c r="E15" i="76"/>
  <c r="G33" i="75"/>
  <c r="AJ16" i="75"/>
  <c r="AK11" i="76"/>
  <c r="AJ41" i="75"/>
  <c r="E8" i="76"/>
  <c r="G21" i="75"/>
  <c r="AL30" i="76"/>
  <c r="E17" i="76"/>
  <c r="AK28" i="76"/>
  <c r="E37" i="76"/>
  <c r="AJ40" i="75"/>
  <c r="E15" i="75"/>
  <c r="AL49" i="76"/>
  <c r="AK34" i="76"/>
  <c r="G46" i="75"/>
  <c r="G51" i="75"/>
  <c r="AJ64" i="75"/>
  <c r="AJ24" i="75"/>
  <c r="AJ43" i="75"/>
  <c r="AJ27" i="75"/>
  <c r="E6" i="74"/>
  <c r="AK20" i="76"/>
  <c r="AK48" i="76"/>
  <c r="AJ37" i="75"/>
  <c r="AJ38" i="75"/>
  <c r="E10" i="76"/>
  <c r="E36" i="76"/>
  <c r="E31" i="76"/>
  <c r="AK16" i="76"/>
  <c r="E47" i="76"/>
  <c r="E42" i="76"/>
  <c r="G20" i="75"/>
  <c r="AL24" i="76"/>
  <c r="AK18" i="75"/>
  <c r="AJ26" i="75"/>
  <c r="G39" i="75"/>
  <c r="AJ60" i="75"/>
  <c r="AK43" i="76"/>
  <c r="AL23" i="76"/>
  <c r="AK14" i="76"/>
  <c r="AK20" i="75"/>
  <c r="AL13" i="76"/>
  <c r="AK45" i="76"/>
  <c r="G9" i="75"/>
  <c r="AJ19" i="75"/>
  <c r="AJ59" i="75"/>
  <c r="AL7" i="76"/>
  <c r="AJ44" i="75"/>
  <c r="G23" i="75"/>
  <c r="AJ57" i="75"/>
  <c r="AK47" i="76"/>
  <c r="E13" i="76"/>
  <c r="G16" i="75"/>
  <c r="AL22" i="76"/>
  <c r="E20" i="76"/>
  <c r="AK19" i="76"/>
  <c r="AK23" i="76"/>
  <c r="AK30" i="76"/>
  <c r="E45" i="76"/>
  <c r="AL41" i="76"/>
  <c r="AL45" i="76"/>
  <c r="AJ67" i="75"/>
  <c r="AK7" i="76"/>
  <c r="AJ65" i="75"/>
  <c r="E11" i="76"/>
  <c r="AJ35" i="75"/>
  <c r="AK36" i="76"/>
  <c r="G48" i="75"/>
  <c r="AK26" i="76"/>
  <c r="AK12" i="76"/>
  <c r="E39" i="76"/>
  <c r="G30" i="75"/>
  <c r="AJ28" i="75"/>
  <c r="AJ66" i="75"/>
  <c r="E18" i="76"/>
  <c r="AL26" i="76"/>
  <c r="G42" i="75"/>
  <c r="G36" i="75"/>
  <c r="G7" i="74"/>
  <c r="AJ56" i="75"/>
  <c r="AL36" i="76"/>
  <c r="G25" i="75"/>
  <c r="G31" i="75"/>
  <c r="AJ25" i="75"/>
  <c r="AL11" i="76"/>
  <c r="AJ33" i="75"/>
  <c r="AK31" i="76"/>
  <c r="AK42" i="76"/>
  <c r="AK18" i="76"/>
  <c r="AJ13" i="75"/>
  <c r="AK35" i="76"/>
  <c r="AJ29" i="75"/>
  <c r="AK17" i="76"/>
  <c r="AJ8" i="75"/>
  <c r="E50" i="76"/>
  <c r="AK21" i="76"/>
  <c r="E14" i="76"/>
  <c r="AK32" i="76"/>
  <c r="AL32" i="76"/>
  <c r="AK44" i="76"/>
  <c r="AJ7" i="75"/>
  <c r="AK13" i="76"/>
  <c r="AJ12" i="75"/>
  <c r="AL50" i="76"/>
  <c r="E26" i="76"/>
  <c r="AJ63" i="75"/>
  <c r="E27" i="76"/>
  <c r="AL33" i="76"/>
  <c r="G41" i="75"/>
  <c r="E40" i="76"/>
  <c r="E21" i="76"/>
  <c r="AL18" i="76"/>
  <c r="G37" i="75"/>
  <c r="E49" i="76"/>
  <c r="AJ17" i="75"/>
  <c r="E23" i="76"/>
  <c r="E34" i="76"/>
  <c r="G40" i="75"/>
  <c r="AL12" i="76"/>
  <c r="E46" i="76"/>
  <c r="G22" i="75"/>
  <c r="AK61" i="76"/>
  <c r="AJ52" i="75"/>
  <c r="E25" i="76"/>
  <c r="E35" i="76"/>
  <c r="AK24" i="76"/>
  <c r="G19" i="75"/>
  <c r="AK25" i="76"/>
  <c r="G26" i="75"/>
  <c r="AJ61" i="75"/>
  <c r="AL46" i="76"/>
  <c r="AJ53" i="75"/>
  <c r="E33" i="76"/>
  <c r="G32" i="75"/>
  <c r="AL18" i="75"/>
  <c r="G44" i="75"/>
  <c r="AL16" i="76"/>
  <c r="G14" i="75"/>
  <c r="AK33" i="76"/>
  <c r="AK39" i="76"/>
  <c r="AJ45" i="75"/>
  <c r="E61" i="76"/>
  <c r="AJ42" i="75"/>
  <c r="AL35" i="76"/>
  <c r="G47" i="75"/>
  <c r="E19" i="76"/>
  <c r="AK46" i="76"/>
  <c r="E16" i="76"/>
  <c r="AL27" i="76"/>
  <c r="E38" i="76"/>
  <c r="AJ58" i="75"/>
  <c r="G12" i="75"/>
  <c r="AK22" i="76"/>
  <c r="AK29" i="76"/>
  <c r="G38" i="75"/>
  <c r="AL43" i="76"/>
  <c r="AL48" i="76"/>
  <c r="AJ34" i="75"/>
  <c r="AL44" i="76"/>
  <c r="AL14" i="76"/>
  <c r="AJ49" i="75"/>
  <c r="G8" i="75"/>
  <c r="AL15" i="76"/>
  <c r="AL29" i="76"/>
  <c r="AK37" i="76"/>
  <c r="AJ46" i="75"/>
  <c r="AJ48" i="75"/>
  <c r="G34" i="75"/>
  <c r="AJ23" i="75"/>
  <c r="G18" i="75"/>
  <c r="G28" i="75"/>
  <c r="AL37" i="76"/>
  <c r="G10" i="75"/>
  <c r="E43" i="76"/>
  <c r="G17" i="75"/>
  <c r="E24" i="76"/>
  <c r="AK10" i="76"/>
  <c r="AL42" i="76"/>
  <c r="G13" i="75"/>
  <c r="AJ14" i="75"/>
  <c r="AJ32" i="75"/>
  <c r="G43" i="75"/>
  <c r="AJ54" i="75"/>
  <c r="AL61" i="76"/>
  <c r="G50" i="75"/>
  <c r="AL19" i="76"/>
  <c r="G24" i="75"/>
  <c r="AL25" i="76"/>
  <c r="AL40" i="76"/>
  <c r="E22" i="76"/>
  <c r="G45" i="75"/>
  <c r="AL20" i="76"/>
  <c r="AJ22" i="75"/>
  <c r="E28" i="76"/>
  <c r="E12" i="76"/>
  <c r="AJ9" i="75"/>
  <c r="AK15" i="76"/>
  <c r="E9" i="76"/>
  <c r="AL21" i="76"/>
  <c r="AK38" i="76"/>
  <c r="AL10" i="76"/>
  <c r="E29" i="76"/>
  <c r="E32" i="76"/>
  <c r="AL20" i="75"/>
  <c r="AL31" i="76"/>
  <c r="AJ39" i="75"/>
  <c r="AL9" i="76"/>
  <c r="E30" i="76"/>
  <c r="AL38" i="76"/>
  <c r="AJ15" i="75"/>
  <c r="AJ50" i="75"/>
  <c r="AK27" i="76"/>
  <c r="G29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CE7" i="7"/>
  <c r="CE31" i="7"/>
  <c r="CE21" i="7"/>
  <c r="CE11" i="7"/>
  <c r="AL13" i="75"/>
  <c r="AK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22" i="75"/>
  <c r="E40" i="75"/>
  <c r="AK8" i="75"/>
  <c r="G11" i="74"/>
  <c r="AJ34" i="74"/>
  <c r="AL19" i="75"/>
  <c r="AJ33" i="74"/>
  <c r="AJ31" i="74"/>
  <c r="AK12" i="75"/>
  <c r="E32" i="75"/>
  <c r="AK34" i="75"/>
  <c r="AJ12" i="74"/>
  <c r="E34" i="75"/>
  <c r="AJ66" i="74"/>
  <c r="G9" i="74"/>
  <c r="E37" i="75"/>
  <c r="G49" i="74"/>
  <c r="AK42" i="75"/>
  <c r="AJ47" i="74"/>
  <c r="AJ26" i="74"/>
  <c r="AK38" i="75"/>
  <c r="G14" i="74"/>
  <c r="E29" i="75"/>
  <c r="AJ53" i="74"/>
  <c r="AK48" i="75"/>
  <c r="AJ45" i="74"/>
  <c r="E61" i="75"/>
  <c r="AL43" i="75"/>
  <c r="AL23" i="75"/>
  <c r="AK52" i="75"/>
  <c r="AK7" i="75"/>
  <c r="E18" i="75"/>
  <c r="AJ49" i="74"/>
  <c r="E25" i="75"/>
  <c r="G40" i="74"/>
  <c r="G30" i="74"/>
  <c r="G38" i="74"/>
  <c r="AJ21" i="74"/>
  <c r="G23" i="74"/>
  <c r="G21" i="74"/>
  <c r="AK24" i="75"/>
  <c r="AL33" i="75"/>
  <c r="AK61" i="75"/>
  <c r="E14" i="75"/>
  <c r="AK21" i="75"/>
  <c r="AL31" i="75"/>
  <c r="AJ65" i="74"/>
  <c r="G18" i="74"/>
  <c r="G39" i="74"/>
  <c r="AK15" i="75"/>
  <c r="E49" i="75"/>
  <c r="G20" i="74"/>
  <c r="AL17" i="75"/>
  <c r="E47" i="75"/>
  <c r="AJ15" i="74"/>
  <c r="AL21" i="75"/>
  <c r="E22" i="75"/>
  <c r="AK29" i="75"/>
  <c r="E46" i="75"/>
  <c r="E51" i="75"/>
  <c r="AJ62" i="74"/>
  <c r="AL8" i="75"/>
  <c r="E38" i="75"/>
  <c r="G27" i="74"/>
  <c r="AK44" i="75"/>
  <c r="AK10" i="75"/>
  <c r="AJ23" i="74"/>
  <c r="AJ46" i="74"/>
  <c r="E8" i="75"/>
  <c r="AJ64" i="74"/>
  <c r="G52" i="74"/>
  <c r="AJ43" i="74"/>
  <c r="E52" i="75"/>
  <c r="AL45" i="75"/>
  <c r="AJ61" i="74"/>
  <c r="AJ58" i="74"/>
  <c r="AJ37" i="74"/>
  <c r="AJ19" i="74"/>
  <c r="AJ10" i="74"/>
  <c r="AL11" i="75"/>
  <c r="AL41" i="75"/>
  <c r="AJ29" i="74"/>
  <c r="AK22" i="75"/>
  <c r="AJ54" i="74"/>
  <c r="AJ63" i="74"/>
  <c r="G33" i="74"/>
  <c r="E36" i="75"/>
  <c r="AL12" i="75"/>
  <c r="AJ30" i="74"/>
  <c r="AL61" i="75"/>
  <c r="G50" i="74"/>
  <c r="AL34" i="75"/>
  <c r="AK49" i="75"/>
  <c r="AK14" i="75"/>
  <c r="AJ39" i="74"/>
  <c r="AJ7" i="74"/>
  <c r="AL42" i="75"/>
  <c r="E12" i="75"/>
  <c r="AJ16" i="74"/>
  <c r="AJ36" i="74"/>
  <c r="AL36" i="75"/>
  <c r="AK31" i="75"/>
  <c r="G45" i="74"/>
  <c r="E16" i="75"/>
  <c r="AJ44" i="74"/>
  <c r="AL9" i="75"/>
  <c r="G43" i="74"/>
  <c r="AJ14" i="74"/>
  <c r="E28" i="75"/>
  <c r="G34" i="74"/>
  <c r="G16" i="74"/>
  <c r="G29" i="74"/>
  <c r="E48" i="75"/>
  <c r="G8" i="74"/>
  <c r="G12" i="74"/>
  <c r="E43" i="75"/>
  <c r="AL48" i="75"/>
  <c r="AK11" i="75"/>
  <c r="G19" i="74"/>
  <c r="AL52" i="75"/>
  <c r="AJ9" i="74"/>
  <c r="AK19" i="75"/>
  <c r="E17" i="75"/>
  <c r="G35" i="74"/>
  <c r="AK46" i="75"/>
  <c r="E45" i="75"/>
  <c r="E44" i="75"/>
  <c r="G15" i="74"/>
  <c r="AJ51" i="74"/>
  <c r="AL35" i="75"/>
  <c r="AK16" i="75"/>
  <c r="AJ55" i="74"/>
  <c r="AL50" i="75"/>
  <c r="AL7" i="75"/>
  <c r="AK26" i="75"/>
  <c r="AJ52" i="74"/>
  <c r="AJ50" i="74"/>
  <c r="AJ8" i="74"/>
  <c r="AJ32" i="74"/>
  <c r="AK9" i="75"/>
  <c r="AL10" i="75"/>
  <c r="AL27" i="75"/>
  <c r="AL14" i="75"/>
  <c r="AL49" i="75"/>
  <c r="E27" i="75"/>
  <c r="AL28" i="75"/>
  <c r="AJ41" i="74"/>
  <c r="G25" i="74"/>
  <c r="AL47" i="75"/>
  <c r="AK30" i="75"/>
  <c r="G22" i="74"/>
  <c r="G24" i="74"/>
  <c r="AK32" i="75"/>
  <c r="G46" i="74"/>
  <c r="AK45" i="75"/>
  <c r="AJ13" i="74"/>
  <c r="G47" i="74"/>
  <c r="E31" i="75"/>
  <c r="E39" i="75"/>
  <c r="AJ40" i="74"/>
  <c r="G48" i="74"/>
  <c r="AL51" i="75"/>
  <c r="AK27" i="75"/>
  <c r="E9" i="75"/>
  <c r="G26" i="74"/>
  <c r="AK17" i="75"/>
  <c r="AJ42" i="74"/>
  <c r="AL30" i="75"/>
  <c r="AJ38" i="74"/>
  <c r="AJ25" i="74"/>
  <c r="AK47" i="75"/>
  <c r="AK37" i="75"/>
  <c r="AJ11" i="74"/>
  <c r="AL40" i="75"/>
  <c r="G36" i="74"/>
  <c r="AJ20" i="74"/>
  <c r="G13" i="74"/>
  <c r="AK39" i="75"/>
  <c r="AL37" i="75"/>
  <c r="AJ24" i="74"/>
  <c r="G61" i="74"/>
  <c r="AJ28" i="74"/>
  <c r="E10" i="75"/>
  <c r="AJ60" i="74"/>
  <c r="AJ59" i="74"/>
  <c r="E24" i="75"/>
  <c r="G37" i="74"/>
  <c r="AJ56" i="74"/>
  <c r="AJ57" i="74"/>
  <c r="AJ18" i="74"/>
  <c r="E7" i="75"/>
  <c r="AL26" i="75"/>
  <c r="AL44" i="75"/>
  <c r="AL46" i="75"/>
  <c r="AL32" i="75"/>
  <c r="AK28" i="75"/>
  <c r="AK43" i="75"/>
  <c r="AK33" i="75"/>
  <c r="E41" i="75"/>
  <c r="E35" i="75"/>
  <c r="AL38" i="75"/>
  <c r="G44" i="74"/>
  <c r="AJ35" i="74"/>
  <c r="AK25" i="75"/>
  <c r="AL29" i="75"/>
  <c r="E50" i="75"/>
  <c r="E26" i="75"/>
  <c r="G28" i="74"/>
  <c r="G32" i="74"/>
  <c r="E11" i="75"/>
  <c r="AJ67" i="74"/>
  <c r="AL24" i="75"/>
  <c r="AK23" i="75"/>
  <c r="AK36" i="75"/>
  <c r="E13" i="75"/>
  <c r="G51" i="74"/>
  <c r="G42" i="74"/>
  <c r="AL25" i="75"/>
  <c r="AK35" i="75"/>
  <c r="AJ22" i="74"/>
  <c r="G31" i="74"/>
  <c r="AL39" i="75"/>
  <c r="AK40" i="75"/>
  <c r="G10" i="74"/>
  <c r="AJ27" i="74"/>
  <c r="E30" i="75"/>
  <c r="E33" i="75"/>
  <c r="AK41" i="75"/>
  <c r="AL15" i="75"/>
  <c r="AK50" i="75"/>
  <c r="E23" i="75"/>
  <c r="G17" i="74"/>
  <c r="AK51" i="75"/>
  <c r="G41" i="74"/>
  <c r="AJ48" i="74"/>
  <c r="AL16" i="75"/>
  <c r="E42" i="75"/>
  <c r="E7" i="74"/>
  <c r="AJ17" i="74"/>
  <c r="E19" i="75"/>
  <c r="E20" i="75"/>
  <c r="E21" i="75"/>
  <c r="BA7" i="7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51" i="74"/>
  <c r="G30" i="73"/>
  <c r="AL23" i="74"/>
  <c r="AK18" i="74"/>
  <c r="E41" i="74"/>
  <c r="E43" i="74"/>
  <c r="AL33" i="74"/>
  <c r="E35" i="74"/>
  <c r="E29" i="74"/>
  <c r="AK12" i="74"/>
  <c r="AL32" i="74"/>
  <c r="AK15" i="74"/>
  <c r="AL36" i="74"/>
  <c r="E10" i="74"/>
  <c r="AL35" i="74"/>
  <c r="E61" i="74"/>
  <c r="AL37" i="74"/>
  <c r="AL42" i="74"/>
  <c r="AK36" i="74"/>
  <c r="AL21" i="74"/>
  <c r="E20" i="74"/>
  <c r="E25" i="74"/>
  <c r="E23" i="74"/>
  <c r="AL40" i="74"/>
  <c r="AL14" i="74"/>
  <c r="AL34" i="74"/>
  <c r="E39" i="74"/>
  <c r="AK19" i="74"/>
  <c r="AL43" i="74"/>
  <c r="E45" i="74"/>
  <c r="AL7" i="74"/>
  <c r="AK21" i="74"/>
  <c r="E19" i="74"/>
  <c r="AK25" i="74"/>
  <c r="AK22" i="74"/>
  <c r="E40" i="74"/>
  <c r="AK13" i="74"/>
  <c r="AL8" i="74"/>
  <c r="E8" i="74"/>
  <c r="E21" i="74"/>
  <c r="AL15" i="74"/>
  <c r="E14" i="74"/>
  <c r="AK26" i="74"/>
  <c r="E31" i="74"/>
  <c r="AK20" i="74"/>
  <c r="AK35" i="74"/>
  <c r="E28" i="74"/>
  <c r="AL51" i="74"/>
  <c r="E38" i="74"/>
  <c r="G51" i="73"/>
  <c r="E37" i="74"/>
  <c r="E44" i="74"/>
  <c r="E15" i="74"/>
  <c r="AK23" i="74"/>
  <c r="AK38" i="74"/>
  <c r="AK61" i="74"/>
  <c r="AK39" i="74"/>
  <c r="AK49" i="74"/>
  <c r="AL9" i="74"/>
  <c r="AK27" i="74"/>
  <c r="AL38" i="74"/>
  <c r="AL18" i="74"/>
  <c r="AL41" i="74"/>
  <c r="AL17" i="74"/>
  <c r="AK46" i="74"/>
  <c r="AK14" i="74"/>
  <c r="E36" i="74"/>
  <c r="E42" i="74"/>
  <c r="E49" i="74"/>
  <c r="AL22" i="74"/>
  <c r="AK40" i="74"/>
  <c r="AL39" i="74"/>
  <c r="AL11" i="74"/>
  <c r="E30" i="74"/>
  <c r="E50" i="74"/>
  <c r="AK31" i="74"/>
  <c r="E9" i="74"/>
  <c r="AL13" i="74"/>
  <c r="AK43" i="74"/>
  <c r="AL52" i="74"/>
  <c r="E47" i="74"/>
  <c r="AL48" i="74"/>
  <c r="E34" i="74"/>
  <c r="AK48" i="74"/>
  <c r="E24" i="74"/>
  <c r="AK9" i="74"/>
  <c r="AK30" i="74"/>
  <c r="AK8" i="74"/>
  <c r="AK17" i="74"/>
  <c r="E17" i="74"/>
  <c r="AK47" i="74"/>
  <c r="AK50" i="74"/>
  <c r="AK16" i="74"/>
  <c r="AL50" i="74"/>
  <c r="AK41" i="74"/>
  <c r="AK37" i="74"/>
  <c r="AK28" i="74"/>
  <c r="AL29" i="74"/>
  <c r="AK44" i="74"/>
  <c r="E46" i="74"/>
  <c r="E22" i="74"/>
  <c r="E51" i="74"/>
  <c r="AL46" i="74"/>
  <c r="AL47" i="74"/>
  <c r="AL12" i="74"/>
  <c r="AL20" i="74"/>
  <c r="AL30" i="74"/>
  <c r="AL19" i="74"/>
  <c r="AK10" i="74"/>
  <c r="AL31" i="74"/>
  <c r="AK42" i="74"/>
  <c r="AL27" i="74"/>
  <c r="AL26" i="74"/>
  <c r="E48" i="74"/>
  <c r="E11" i="74"/>
  <c r="E13" i="74"/>
  <c r="E26" i="74"/>
  <c r="AK7" i="74"/>
  <c r="AL44" i="74"/>
  <c r="E16" i="74"/>
  <c r="AK34" i="74"/>
  <c r="G26" i="73"/>
  <c r="AL25" i="74"/>
  <c r="E27" i="74"/>
  <c r="AL28" i="74"/>
  <c r="AL45" i="74"/>
  <c r="E18" i="74"/>
  <c r="E32" i="74"/>
  <c r="E52" i="74"/>
  <c r="E33" i="74"/>
  <c r="AK45" i="74"/>
  <c r="AL61" i="74"/>
  <c r="E12" i="74"/>
  <c r="AL24" i="74"/>
  <c r="AL16" i="74"/>
  <c r="AK32" i="74"/>
  <c r="AK52" i="74"/>
  <c r="AK29" i="74"/>
  <c r="AK33" i="74"/>
  <c r="AL10" i="74"/>
  <c r="AK24" i="74"/>
  <c r="AL49" i="74"/>
  <c r="AK11" i="74"/>
  <c r="E6" i="73"/>
  <c r="BA11" i="7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AJ65" i="73"/>
  <c r="AJ11" i="73"/>
  <c r="G17" i="73"/>
  <c r="G41" i="73"/>
  <c r="E51" i="73"/>
  <c r="G8" i="73"/>
  <c r="AJ30" i="73"/>
  <c r="AJ63" i="73"/>
  <c r="G18" i="73"/>
  <c r="AJ47" i="73"/>
  <c r="AJ29" i="73"/>
  <c r="AJ18" i="73"/>
  <c r="AJ64" i="73"/>
  <c r="AJ35" i="73"/>
  <c r="G42" i="73"/>
  <c r="AJ62" i="73"/>
  <c r="AJ43" i="73"/>
  <c r="AJ24" i="73"/>
  <c r="AJ55" i="73"/>
  <c r="AJ20" i="73"/>
  <c r="G20" i="73"/>
  <c r="AJ31" i="73"/>
  <c r="G39" i="73"/>
  <c r="G9" i="73"/>
  <c r="G25" i="73"/>
  <c r="AJ56" i="73"/>
  <c r="AJ28" i="73"/>
  <c r="AJ37" i="73"/>
  <c r="G34" i="73"/>
  <c r="AJ60" i="73"/>
  <c r="E26" i="73"/>
  <c r="E30" i="73"/>
  <c r="AJ21" i="73"/>
  <c r="AJ41" i="73"/>
  <c r="G11" i="73"/>
  <c r="AJ42" i="73"/>
  <c r="AJ53" i="73"/>
  <c r="AJ38" i="73"/>
  <c r="AJ52" i="73"/>
  <c r="G47" i="73"/>
  <c r="AJ66" i="73"/>
  <c r="AJ13" i="73"/>
  <c r="G46" i="73"/>
  <c r="G27" i="73"/>
  <c r="G22" i="73"/>
  <c r="G61" i="73"/>
  <c r="G38" i="73"/>
  <c r="AJ50" i="73"/>
  <c r="AJ49" i="73"/>
  <c r="G48" i="73"/>
  <c r="AJ36" i="73"/>
  <c r="AJ34" i="73"/>
  <c r="G44" i="73"/>
  <c r="AJ14" i="73"/>
  <c r="AJ19" i="73"/>
  <c r="AJ57" i="73"/>
  <c r="G50" i="73"/>
  <c r="G35" i="73"/>
  <c r="G37" i="73"/>
  <c r="G31" i="73"/>
  <c r="AJ67" i="73"/>
  <c r="G19" i="73"/>
  <c r="G36" i="73"/>
  <c r="AJ12" i="73"/>
  <c r="AJ23" i="73"/>
  <c r="AJ32" i="73"/>
  <c r="G7" i="73"/>
  <c r="AJ9" i="73"/>
  <c r="G14" i="73"/>
  <c r="G10" i="73"/>
  <c r="G28" i="73"/>
  <c r="AJ51" i="73"/>
  <c r="AJ44" i="73"/>
  <c r="AJ48" i="73"/>
  <c r="G41" i="71"/>
  <c r="AJ15" i="73"/>
  <c r="AJ54" i="73"/>
  <c r="AJ39" i="73"/>
  <c r="AJ10" i="73"/>
  <c r="G32" i="73"/>
  <c r="AJ25" i="73"/>
  <c r="AJ46" i="73"/>
  <c r="E6" i="71"/>
  <c r="G43" i="73"/>
  <c r="G45" i="73"/>
  <c r="AJ17" i="73"/>
  <c r="AJ33" i="73"/>
  <c r="AJ7" i="73"/>
  <c r="AJ22" i="73"/>
  <c r="G21" i="73"/>
  <c r="G13" i="73"/>
  <c r="G24" i="73"/>
  <c r="G16" i="73"/>
  <c r="G49" i="73"/>
  <c r="AJ26" i="73"/>
  <c r="AJ16" i="73"/>
  <c r="AJ61" i="73"/>
  <c r="AJ27" i="73"/>
  <c r="G33" i="73"/>
  <c r="G52" i="73"/>
  <c r="G29" i="73"/>
  <c r="G40" i="73"/>
  <c r="G12" i="73"/>
  <c r="AJ58" i="73"/>
  <c r="AJ40" i="73"/>
  <c r="G23" i="73"/>
  <c r="G15" i="73"/>
  <c r="AJ45" i="73"/>
  <c r="AJ59" i="73"/>
  <c r="AJ8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8" i="71"/>
  <c r="G11" i="71"/>
  <c r="G10" i="71"/>
  <c r="G9" i="71"/>
  <c r="E7" i="73"/>
  <c r="E41" i="73"/>
  <c r="G14" i="71"/>
  <c r="E34" i="73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1" i="73"/>
  <c r="E44" i="73"/>
  <c r="E13" i="73"/>
  <c r="AL26" i="73"/>
  <c r="AJ37" i="71"/>
  <c r="AJ66" i="71"/>
  <c r="AL33" i="73"/>
  <c r="AJ67" i="71"/>
  <c r="AJ8" i="71"/>
  <c r="AK16" i="73"/>
  <c r="AL38" i="73"/>
  <c r="E38" i="73"/>
  <c r="AJ18" i="71"/>
  <c r="AL47" i="73"/>
  <c r="AK8" i="73"/>
  <c r="E11" i="71"/>
  <c r="AL42" i="73"/>
  <c r="E36" i="73"/>
  <c r="AL50" i="73"/>
  <c r="AJ62" i="71"/>
  <c r="AK10" i="73"/>
  <c r="AJ43" i="71"/>
  <c r="AK34" i="73"/>
  <c r="AL19" i="73"/>
  <c r="AK35" i="73"/>
  <c r="AL36" i="73"/>
  <c r="E37" i="73"/>
  <c r="E45" i="73"/>
  <c r="AK12" i="73"/>
  <c r="AL8" i="73"/>
  <c r="AL10" i="73"/>
  <c r="AJ16" i="71"/>
  <c r="AJ61" i="71"/>
  <c r="G49" i="71"/>
  <c r="G38" i="71"/>
  <c r="AL23" i="73"/>
  <c r="G23" i="71"/>
  <c r="E33" i="73"/>
  <c r="AK51" i="73"/>
  <c r="AL28" i="73"/>
  <c r="E47" i="73"/>
  <c r="AJ20" i="71"/>
  <c r="AL7" i="73"/>
  <c r="G27" i="71"/>
  <c r="E39" i="73"/>
  <c r="G45" i="71"/>
  <c r="E16" i="73"/>
  <c r="E18" i="73"/>
  <c r="G39" i="71"/>
  <c r="AL22" i="73"/>
  <c r="AJ44" i="71"/>
  <c r="AL9" i="73"/>
  <c r="AJ38" i="71"/>
  <c r="E50" i="73"/>
  <c r="AJ63" i="71"/>
  <c r="G16" i="71"/>
  <c r="AJ46" i="71"/>
  <c r="AL14" i="73"/>
  <c r="E9" i="71"/>
  <c r="AJ29" i="71"/>
  <c r="AK32" i="73"/>
  <c r="AK23" i="73"/>
  <c r="G48" i="71"/>
  <c r="E17" i="73"/>
  <c r="E27" i="73"/>
  <c r="E9" i="73"/>
  <c r="AJ50" i="71"/>
  <c r="G50" i="71"/>
  <c r="AJ17" i="71"/>
  <c r="E32" i="73"/>
  <c r="AK29" i="73"/>
  <c r="E11" i="73"/>
  <c r="AK61" i="73"/>
  <c r="E6" i="70"/>
  <c r="AK28" i="73"/>
  <c r="AJ11" i="71"/>
  <c r="AJ39" i="71"/>
  <c r="AL34" i="73"/>
  <c r="AL43" i="73"/>
  <c r="E10" i="73"/>
  <c r="AJ45" i="71"/>
  <c r="AK20" i="73"/>
  <c r="E21" i="73"/>
  <c r="AJ7" i="71"/>
  <c r="AJ55" i="71"/>
  <c r="E24" i="73"/>
  <c r="AJ21" i="71"/>
  <c r="G31" i="71"/>
  <c r="G17" i="71"/>
  <c r="AK31" i="73"/>
  <c r="AJ10" i="71"/>
  <c r="AK44" i="73"/>
  <c r="AJ9" i="71"/>
  <c r="E8" i="73"/>
  <c r="G52" i="71"/>
  <c r="AJ23" i="71"/>
  <c r="AL52" i="73"/>
  <c r="AL41" i="73"/>
  <c r="G30" i="71"/>
  <c r="AJ42" i="71"/>
  <c r="AJ49" i="71"/>
  <c r="AJ40" i="71"/>
  <c r="AK43" i="73"/>
  <c r="AK14" i="73"/>
  <c r="AJ25" i="71"/>
  <c r="AK48" i="73"/>
  <c r="G12" i="71"/>
  <c r="E19" i="73"/>
  <c r="E12" i="73"/>
  <c r="AJ33" i="71"/>
  <c r="E29" i="73"/>
  <c r="AL17" i="73"/>
  <c r="AK42" i="73"/>
  <c r="G47" i="71"/>
  <c r="AJ34" i="71"/>
  <c r="E41" i="71"/>
  <c r="AK46" i="73"/>
  <c r="AJ24" i="71"/>
  <c r="G26" i="71"/>
  <c r="AJ48" i="71"/>
  <c r="E28" i="73"/>
  <c r="AK41" i="73"/>
  <c r="E48" i="73"/>
  <c r="AJ35" i="71"/>
  <c r="AK27" i="73"/>
  <c r="AL25" i="73"/>
  <c r="E61" i="73"/>
  <c r="E25" i="73"/>
  <c r="E8" i="71"/>
  <c r="AJ14" i="71"/>
  <c r="AL35" i="73"/>
  <c r="AK52" i="73"/>
  <c r="AL13" i="73"/>
  <c r="G22" i="71"/>
  <c r="AK26" i="73"/>
  <c r="AK37" i="73"/>
  <c r="AL11" i="73"/>
  <c r="G46" i="71"/>
  <c r="E22" i="73"/>
  <c r="G34" i="71"/>
  <c r="AJ28" i="71"/>
  <c r="AL45" i="73"/>
  <c r="AJ32" i="71"/>
  <c r="AK18" i="73"/>
  <c r="G28" i="71"/>
  <c r="G20" i="71"/>
  <c r="AL37" i="73"/>
  <c r="AJ31" i="71"/>
  <c r="AK30" i="73"/>
  <c r="G18" i="71"/>
  <c r="AJ57" i="71"/>
  <c r="AJ19" i="71"/>
  <c r="AJ64" i="71"/>
  <c r="AJ12" i="71"/>
  <c r="AL61" i="73"/>
  <c r="E15" i="73"/>
  <c r="AL49" i="73"/>
  <c r="G51" i="71"/>
  <c r="G23" i="70"/>
  <c r="AJ36" i="71"/>
  <c r="AK11" i="73"/>
  <c r="AK13" i="73"/>
  <c r="G7" i="71"/>
  <c r="E31" i="73"/>
  <c r="AL29" i="73"/>
  <c r="AJ56" i="71"/>
  <c r="AL15" i="73"/>
  <c r="E43" i="73"/>
  <c r="AJ58" i="71"/>
  <c r="AL30" i="73"/>
  <c r="AK45" i="73"/>
  <c r="AK21" i="73"/>
  <c r="AK25" i="73"/>
  <c r="AK17" i="73"/>
  <c r="AL44" i="73"/>
  <c r="AJ60" i="71"/>
  <c r="AL40" i="73"/>
  <c r="G37" i="71"/>
  <c r="G53" i="71"/>
  <c r="AL27" i="73"/>
  <c r="E23" i="73"/>
  <c r="G19" i="71"/>
  <c r="AJ26" i="71"/>
  <c r="AK40" i="73"/>
  <c r="G24" i="71"/>
  <c r="G21" i="71"/>
  <c r="G13" i="71"/>
  <c r="G32" i="71"/>
  <c r="G44" i="71"/>
  <c r="E14" i="71"/>
  <c r="AJ47" i="71"/>
  <c r="G61" i="71"/>
  <c r="E35" i="73"/>
  <c r="AK9" i="73"/>
  <c r="E42" i="73"/>
  <c r="AK19" i="73"/>
  <c r="AK50" i="73"/>
  <c r="G43" i="71"/>
  <c r="G42" i="71"/>
  <c r="G36" i="71"/>
  <c r="AL18" i="73"/>
  <c r="AL32" i="73"/>
  <c r="AK36" i="73"/>
  <c r="AJ27" i="71"/>
  <c r="AL12" i="73"/>
  <c r="AL20" i="73"/>
  <c r="G33" i="71"/>
  <c r="AK22" i="73"/>
  <c r="E20" i="73"/>
  <c r="AJ53" i="71"/>
  <c r="G25" i="71"/>
  <c r="E52" i="73"/>
  <c r="AK15" i="73"/>
  <c r="G35" i="71"/>
  <c r="AK38" i="73"/>
  <c r="AL16" i="73"/>
  <c r="E49" i="73"/>
  <c r="AK39" i="73"/>
  <c r="AJ22" i="71"/>
  <c r="AK24" i="73"/>
  <c r="AJ15" i="71"/>
  <c r="AL24" i="73"/>
  <c r="AJ54" i="71"/>
  <c r="AJ51" i="71"/>
  <c r="AL46" i="73"/>
  <c r="AJ41" i="71"/>
  <c r="G29" i="71"/>
  <c r="AJ59" i="71"/>
  <c r="AL39" i="73"/>
  <c r="AK49" i="73"/>
  <c r="AK33" i="73"/>
  <c r="AL21" i="73"/>
  <c r="AL31" i="73"/>
  <c r="E10" i="71"/>
  <c r="AJ65" i="71"/>
  <c r="AK7" i="73"/>
  <c r="AK47" i="73"/>
  <c r="G15" i="71"/>
  <c r="G40" i="71"/>
  <c r="AJ30" i="71"/>
  <c r="E46" i="73"/>
  <c r="AJ13" i="71"/>
  <c r="AL48" i="73"/>
  <c r="AJ52" i="71"/>
  <c r="E14" i="73"/>
  <c r="E40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BG31" i="85" l="1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AK43" i="71"/>
  <c r="G53" i="70"/>
  <c r="AJ48" i="70"/>
  <c r="G11" i="70"/>
  <c r="AJ8" i="70"/>
  <c r="E27" i="71"/>
  <c r="E16" i="71"/>
  <c r="AJ47" i="70"/>
  <c r="AJ11" i="70"/>
  <c r="AK36" i="71"/>
  <c r="AL37" i="71"/>
  <c r="AJ35" i="70"/>
  <c r="G23" i="69"/>
  <c r="AJ37" i="70"/>
  <c r="AL12" i="71"/>
  <c r="AK20" i="71"/>
  <c r="G41" i="70"/>
  <c r="AK61" i="71"/>
  <c r="AJ18" i="70"/>
  <c r="AL19" i="71"/>
  <c r="E24" i="71"/>
  <c r="AL28" i="71"/>
  <c r="AJ28" i="70"/>
  <c r="AK39" i="71"/>
  <c r="AL49" i="71"/>
  <c r="E19" i="71"/>
  <c r="AJ43" i="70"/>
  <c r="E32" i="71"/>
  <c r="AJ58" i="70"/>
  <c r="E26" i="71"/>
  <c r="G26" i="70"/>
  <c r="E36" i="71"/>
  <c r="E33" i="71"/>
  <c r="AK33" i="71"/>
  <c r="AJ20" i="70"/>
  <c r="AK23" i="71"/>
  <c r="AL30" i="71"/>
  <c r="G35" i="70"/>
  <c r="G47" i="70"/>
  <c r="AL39" i="71"/>
  <c r="AL35" i="71"/>
  <c r="AL44" i="71"/>
  <c r="AJ7" i="69"/>
  <c r="AJ12" i="70"/>
  <c r="AK30" i="71"/>
  <c r="AJ36" i="70"/>
  <c r="AL23" i="71"/>
  <c r="AK19" i="71"/>
  <c r="AL14" i="71"/>
  <c r="AJ23" i="70"/>
  <c r="AK21" i="71"/>
  <c r="AJ33" i="70"/>
  <c r="AJ25" i="70"/>
  <c r="G51" i="70"/>
  <c r="AK41" i="71"/>
  <c r="G12" i="70"/>
  <c r="G30" i="70"/>
  <c r="AK7" i="71"/>
  <c r="G28" i="70"/>
  <c r="G52" i="70"/>
  <c r="AJ65" i="70"/>
  <c r="G44" i="70"/>
  <c r="AJ49" i="70"/>
  <c r="AL42" i="71"/>
  <c r="AJ19" i="70"/>
  <c r="E51" i="71"/>
  <c r="AJ59" i="70"/>
  <c r="AL41" i="71"/>
  <c r="E30" i="71"/>
  <c r="AJ9" i="70"/>
  <c r="AJ44" i="70"/>
  <c r="AK9" i="71"/>
  <c r="AK51" i="71"/>
  <c r="G27" i="70"/>
  <c r="E37" i="71"/>
  <c r="G32" i="70"/>
  <c r="AJ24" i="70"/>
  <c r="G48" i="70"/>
  <c r="AL36" i="71"/>
  <c r="AK10" i="71"/>
  <c r="AJ40" i="70"/>
  <c r="AL13" i="71"/>
  <c r="G21" i="70"/>
  <c r="AK16" i="71"/>
  <c r="AK52" i="71"/>
  <c r="AK11" i="71"/>
  <c r="E23" i="70"/>
  <c r="AJ64" i="70"/>
  <c r="AK45" i="71"/>
  <c r="G45" i="70"/>
  <c r="E46" i="71"/>
  <c r="AK48" i="71"/>
  <c r="E43" i="71"/>
  <c r="AK25" i="71"/>
  <c r="G19" i="70"/>
  <c r="AK42" i="71"/>
  <c r="AJ41" i="70"/>
  <c r="AJ62" i="70"/>
  <c r="AL24" i="71"/>
  <c r="AJ13" i="70"/>
  <c r="AK22" i="71"/>
  <c r="AJ54" i="70"/>
  <c r="AK15" i="71"/>
  <c r="AJ10" i="70"/>
  <c r="AJ51" i="70"/>
  <c r="G38" i="69"/>
  <c r="AJ56" i="70"/>
  <c r="AL45" i="71"/>
  <c r="E53" i="71"/>
  <c r="AJ38" i="70"/>
  <c r="AJ66" i="70"/>
  <c r="G61" i="70"/>
  <c r="AK8" i="71"/>
  <c r="AL17" i="71"/>
  <c r="AJ32" i="70"/>
  <c r="AL20" i="71"/>
  <c r="AJ27" i="70"/>
  <c r="G54" i="70"/>
  <c r="E29" i="71"/>
  <c r="E6" i="69"/>
  <c r="G29" i="70"/>
  <c r="AL16" i="71"/>
  <c r="E13" i="71"/>
  <c r="E28" i="71"/>
  <c r="E48" i="71"/>
  <c r="G43" i="70"/>
  <c r="AK18" i="71"/>
  <c r="E45" i="71"/>
  <c r="G38" i="70"/>
  <c r="AL21" i="71"/>
  <c r="AL29" i="71"/>
  <c r="AK49" i="71"/>
  <c r="AL25" i="71"/>
  <c r="AJ14" i="70"/>
  <c r="AJ63" i="70"/>
  <c r="AL32" i="71"/>
  <c r="E25" i="71"/>
  <c r="G49" i="70"/>
  <c r="AK53" i="71"/>
  <c r="AL15" i="71"/>
  <c r="AL50" i="71"/>
  <c r="AL61" i="71"/>
  <c r="AJ29" i="70"/>
  <c r="AK24" i="71"/>
  <c r="AL52" i="71"/>
  <c r="AJ7" i="70"/>
  <c r="AJ61" i="70"/>
  <c r="G37" i="70"/>
  <c r="AK37" i="71"/>
  <c r="E47" i="71"/>
  <c r="AJ67" i="70"/>
  <c r="E31" i="71"/>
  <c r="G9" i="70"/>
  <c r="AL48" i="71"/>
  <c r="G36" i="70"/>
  <c r="AJ60" i="70"/>
  <c r="E38" i="71"/>
  <c r="G13" i="70"/>
  <c r="AJ55" i="70"/>
  <c r="G33" i="70"/>
  <c r="AL53" i="71"/>
  <c r="E23" i="71"/>
  <c r="G15" i="70"/>
  <c r="AJ22" i="70"/>
  <c r="AK13" i="71"/>
  <c r="AL10" i="71"/>
  <c r="E42" i="71"/>
  <c r="AL8" i="71"/>
  <c r="AK31" i="71"/>
  <c r="G24" i="70"/>
  <c r="E22" i="71"/>
  <c r="AK29" i="71"/>
  <c r="E7" i="71"/>
  <c r="G50" i="70"/>
  <c r="AK40" i="71"/>
  <c r="E21" i="71"/>
  <c r="AJ45" i="70"/>
  <c r="AJ21" i="70"/>
  <c r="E61" i="71"/>
  <c r="AK32" i="71"/>
  <c r="G25" i="70"/>
  <c r="G10" i="70"/>
  <c r="G27" i="69"/>
  <c r="G22" i="70"/>
  <c r="AL46" i="71"/>
  <c r="E17" i="71"/>
  <c r="AL40" i="71"/>
  <c r="E34" i="71"/>
  <c r="G20" i="70"/>
  <c r="AJ15" i="70"/>
  <c r="G34" i="70"/>
  <c r="G31" i="70"/>
  <c r="E40" i="71"/>
  <c r="G14" i="70"/>
  <c r="AK44" i="71"/>
  <c r="AK35" i="71"/>
  <c r="AL47" i="71"/>
  <c r="AJ30" i="70"/>
  <c r="AL33" i="71"/>
  <c r="G17" i="70"/>
  <c r="G7" i="70"/>
  <c r="G18" i="70"/>
  <c r="E39" i="71"/>
  <c r="AJ52" i="70"/>
  <c r="AK46" i="71"/>
  <c r="AJ53" i="70"/>
  <c r="G40" i="70"/>
  <c r="AL26" i="71"/>
  <c r="AK27" i="71"/>
  <c r="AJ34" i="70"/>
  <c r="AL34" i="71"/>
  <c r="AK12" i="71"/>
  <c r="E52" i="71"/>
  <c r="E12" i="71"/>
  <c r="G16" i="70"/>
  <c r="G39" i="70"/>
  <c r="AJ31" i="70"/>
  <c r="AK14" i="71"/>
  <c r="G15" i="69"/>
  <c r="AL9" i="71"/>
  <c r="AL51" i="71"/>
  <c r="AJ57" i="70"/>
  <c r="AL27" i="71"/>
  <c r="AJ16" i="70"/>
  <c r="AJ17" i="70"/>
  <c r="G42" i="70"/>
  <c r="AJ39" i="70"/>
  <c r="G46" i="70"/>
  <c r="AK47" i="71"/>
  <c r="AL43" i="71"/>
  <c r="G8" i="70"/>
  <c r="AL31" i="71"/>
  <c r="AL7" i="71"/>
  <c r="E35" i="71"/>
  <c r="AL22" i="71"/>
  <c r="E44" i="71"/>
  <c r="AJ26" i="70"/>
  <c r="E49" i="71"/>
  <c r="E50" i="71"/>
  <c r="AK28" i="71"/>
  <c r="AL11" i="71"/>
  <c r="AJ46" i="70"/>
  <c r="AL18" i="71"/>
  <c r="AK50" i="71"/>
  <c r="AK34" i="71"/>
  <c r="AJ42" i="70"/>
  <c r="AK26" i="71"/>
  <c r="E15" i="71"/>
  <c r="AJ50" i="70"/>
  <c r="E20" i="71"/>
  <c r="E18" i="71"/>
  <c r="AK17" i="71"/>
  <c r="G31" i="69"/>
  <c r="AJ10" i="69"/>
  <c r="G26" i="69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AA8" i="71" s="1"/>
  <c r="O13" i="7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U12" i="71"/>
  <c r="V12" i="71" s="1"/>
  <c r="R12" i="71"/>
  <c r="AA12" i="71" s="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AA13" i="71"/>
  <c r="O14" i="71"/>
  <c r="P12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P13" i="71"/>
  <c r="BD11" i="71"/>
  <c r="BC12" i="71"/>
  <c r="BF10" i="71"/>
  <c r="BG10" i="71"/>
  <c r="BI10" i="71"/>
  <c r="BH10" i="71"/>
  <c r="S13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CA31" i="7"/>
  <c r="CA21" i="7"/>
  <c r="CA11" i="7"/>
  <c r="CA7" i="7"/>
  <c r="AL30" i="70"/>
  <c r="AK30" i="70"/>
  <c r="AL8" i="70"/>
  <c r="AL10" i="70"/>
  <c r="AK12" i="70"/>
  <c r="AK10" i="70"/>
  <c r="AL12" i="70"/>
  <c r="AK8" i="70"/>
  <c r="R14" i="71" l="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AA14" i="71" s="1"/>
  <c r="U14" i="71"/>
  <c r="U5" i="71" s="1"/>
  <c r="AA10" i="71"/>
  <c r="BM50" i="5"/>
  <c r="R11" i="9" s="1"/>
  <c r="BM58" i="5"/>
  <c r="BM52" i="5"/>
  <c r="R13" i="9" s="1"/>
  <c r="P11" i="71"/>
  <c r="O5" i="7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R14" i="9" l="1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W7" i="7"/>
  <c r="BW11" i="7"/>
  <c r="BW21" i="7"/>
  <c r="BW31" i="7"/>
  <c r="AJ26" i="68"/>
  <c r="AK48" i="70"/>
  <c r="AK38" i="70"/>
  <c r="AK18" i="70"/>
  <c r="AK36" i="70"/>
  <c r="G44" i="68"/>
  <c r="E22" i="70"/>
  <c r="G61" i="68"/>
  <c r="E14" i="70"/>
  <c r="AJ9" i="69"/>
  <c r="E38" i="70"/>
  <c r="AJ36" i="68"/>
  <c r="AJ23" i="68"/>
  <c r="G15" i="66"/>
  <c r="AJ37" i="69"/>
  <c r="AJ18" i="68"/>
  <c r="G48" i="69"/>
  <c r="AL26" i="70"/>
  <c r="AJ29" i="66"/>
  <c r="AJ17" i="66"/>
  <c r="E54" i="70"/>
  <c r="AJ11" i="69"/>
  <c r="G41" i="69"/>
  <c r="AK9" i="70"/>
  <c r="AL29" i="70"/>
  <c r="G32" i="66"/>
  <c r="AJ61" i="68"/>
  <c r="E23" i="69"/>
  <c r="AJ56" i="69"/>
  <c r="AK20" i="70"/>
  <c r="E11" i="70"/>
  <c r="AJ54" i="68"/>
  <c r="AL50" i="70"/>
  <c r="E53" i="70"/>
  <c r="AJ46" i="68"/>
  <c r="AL32" i="70"/>
  <c r="AJ34" i="66"/>
  <c r="AL17" i="70"/>
  <c r="AJ50" i="69"/>
  <c r="AJ42" i="69"/>
  <c r="AJ25" i="68"/>
  <c r="AL61" i="70"/>
  <c r="AJ41" i="68"/>
  <c r="G21" i="68"/>
  <c r="AL28" i="70"/>
  <c r="G24" i="69"/>
  <c r="AJ65" i="66"/>
  <c r="AJ41" i="69"/>
  <c r="AJ42" i="66"/>
  <c r="AJ41" i="66"/>
  <c r="AK19" i="70"/>
  <c r="AK54" i="70"/>
  <c r="AJ62" i="68"/>
  <c r="E6" i="68"/>
  <c r="AJ22" i="65"/>
  <c r="AJ7" i="68"/>
  <c r="AK39" i="70"/>
  <c r="G49" i="69"/>
  <c r="AJ44" i="66"/>
  <c r="AJ57" i="66"/>
  <c r="AJ39" i="68"/>
  <c r="G15" i="68"/>
  <c r="AK15" i="70"/>
  <c r="AJ45" i="66"/>
  <c r="AJ51" i="68"/>
  <c r="G43" i="66"/>
  <c r="AJ63" i="69"/>
  <c r="AK52" i="70"/>
  <c r="G51" i="66"/>
  <c r="AJ50" i="68"/>
  <c r="G36" i="68"/>
  <c r="G45" i="66"/>
  <c r="G31" i="66"/>
  <c r="G48" i="68"/>
  <c r="AJ48" i="66"/>
  <c r="G18" i="68"/>
  <c r="AK28" i="70"/>
  <c r="G11" i="68"/>
  <c r="AJ33" i="68"/>
  <c r="AL9" i="70"/>
  <c r="AJ17" i="69"/>
  <c r="AL39" i="70"/>
  <c r="G10" i="68"/>
  <c r="AJ57" i="68"/>
  <c r="G12" i="68"/>
  <c r="G17" i="69"/>
  <c r="AL52" i="70"/>
  <c r="AK22" i="70"/>
  <c r="AJ41" i="65"/>
  <c r="AJ44" i="69"/>
  <c r="AJ64" i="69"/>
  <c r="G17" i="66"/>
  <c r="G52" i="68"/>
  <c r="G39" i="69"/>
  <c r="G20" i="68"/>
  <c r="G52" i="66"/>
  <c r="AJ24" i="65"/>
  <c r="AJ34" i="68"/>
  <c r="G11" i="69"/>
  <c r="G53" i="68"/>
  <c r="AJ29" i="68"/>
  <c r="AK27" i="70"/>
  <c r="E51" i="70"/>
  <c r="AK46" i="70"/>
  <c r="E31" i="70"/>
  <c r="G25" i="66"/>
  <c r="G43" i="69"/>
  <c r="G29" i="68"/>
  <c r="AJ43" i="69"/>
  <c r="AK10" i="69"/>
  <c r="E15" i="69"/>
  <c r="AJ67" i="66"/>
  <c r="AL18" i="70"/>
  <c r="AL22" i="70"/>
  <c r="AJ15" i="69"/>
  <c r="AJ21" i="66"/>
  <c r="AJ23" i="66"/>
  <c r="E6" i="65"/>
  <c r="AJ19" i="69"/>
  <c r="AL46" i="70"/>
  <c r="AJ37" i="68"/>
  <c r="G61" i="66"/>
  <c r="G50" i="69"/>
  <c r="E12" i="70"/>
  <c r="AJ11" i="68"/>
  <c r="AJ21" i="68"/>
  <c r="AJ58" i="68"/>
  <c r="AJ22" i="68"/>
  <c r="G21" i="66"/>
  <c r="G31" i="68"/>
  <c r="AJ54" i="66"/>
  <c r="G34" i="68"/>
  <c r="AL37" i="70"/>
  <c r="AJ26" i="69"/>
  <c r="AK21" i="70"/>
  <c r="AJ51" i="66"/>
  <c r="G16" i="68"/>
  <c r="E28" i="70"/>
  <c r="AJ16" i="69"/>
  <c r="G19" i="68"/>
  <c r="AJ52" i="66"/>
  <c r="G36" i="66"/>
  <c r="AL20" i="70"/>
  <c r="G9" i="68"/>
  <c r="AJ35" i="69"/>
  <c r="AL47" i="70"/>
  <c r="AJ38" i="66"/>
  <c r="AJ56" i="68"/>
  <c r="G33" i="68"/>
  <c r="G18" i="69"/>
  <c r="AJ58" i="69"/>
  <c r="AL24" i="70"/>
  <c r="E47" i="70"/>
  <c r="AJ64" i="68"/>
  <c r="G20" i="69"/>
  <c r="G35" i="66"/>
  <c r="E38" i="69"/>
  <c r="AK14" i="70"/>
  <c r="AK50" i="70"/>
  <c r="AJ32" i="66"/>
  <c r="AJ60" i="69"/>
  <c r="AJ16" i="68"/>
  <c r="AK24" i="70"/>
  <c r="AK32" i="70"/>
  <c r="AJ27" i="69"/>
  <c r="AJ57" i="69"/>
  <c r="G25" i="69"/>
  <c r="AJ40" i="66"/>
  <c r="G54" i="69"/>
  <c r="G47" i="69"/>
  <c r="G23" i="68"/>
  <c r="AJ29" i="69"/>
  <c r="E26" i="70"/>
  <c r="G28" i="68"/>
  <c r="G13" i="69"/>
  <c r="AJ31" i="69"/>
  <c r="AL7" i="70"/>
  <c r="E10" i="70"/>
  <c r="AJ53" i="68"/>
  <c r="G30" i="68"/>
  <c r="AL36" i="70"/>
  <c r="AK25" i="70"/>
  <c r="E9" i="70"/>
  <c r="AK47" i="70"/>
  <c r="AJ63" i="66"/>
  <c r="AJ66" i="69"/>
  <c r="E30" i="70"/>
  <c r="AJ34" i="69"/>
  <c r="AJ27" i="68"/>
  <c r="AJ18" i="69"/>
  <c r="AJ10" i="66"/>
  <c r="AJ20" i="68"/>
  <c r="G22" i="68"/>
  <c r="AK13" i="70"/>
  <c r="G25" i="68"/>
  <c r="E41" i="70"/>
  <c r="AJ25" i="69"/>
  <c r="AJ8" i="69"/>
  <c r="G9" i="69"/>
  <c r="AJ13" i="68"/>
  <c r="AJ33" i="66"/>
  <c r="E39" i="70"/>
  <c r="AK37" i="70"/>
  <c r="AK35" i="70"/>
  <c r="AJ53" i="69"/>
  <c r="G51" i="69"/>
  <c r="G54" i="68"/>
  <c r="AK53" i="70"/>
  <c r="G19" i="66"/>
  <c r="G37" i="66"/>
  <c r="AJ20" i="66"/>
  <c r="E20" i="70"/>
  <c r="AJ31" i="68"/>
  <c r="G50" i="68"/>
  <c r="E45" i="70"/>
  <c r="AJ27" i="66"/>
  <c r="AK31" i="70"/>
  <c r="E61" i="70"/>
  <c r="E36" i="70"/>
  <c r="G40" i="68"/>
  <c r="E15" i="70"/>
  <c r="AJ22" i="69"/>
  <c r="AJ35" i="68"/>
  <c r="AJ59" i="66"/>
  <c r="AJ14" i="66"/>
  <c r="AJ9" i="66"/>
  <c r="AL21" i="70"/>
  <c r="G7" i="69"/>
  <c r="AK42" i="70"/>
  <c r="AJ46" i="69"/>
  <c r="E48" i="70"/>
  <c r="AJ55" i="68"/>
  <c r="E50" i="70"/>
  <c r="G49" i="68"/>
  <c r="G33" i="66"/>
  <c r="AJ47" i="69"/>
  <c r="E46" i="70"/>
  <c r="AJ52" i="69"/>
  <c r="E18" i="70"/>
  <c r="G8" i="69"/>
  <c r="G46" i="68"/>
  <c r="G24" i="68"/>
  <c r="AJ24" i="68"/>
  <c r="G54" i="66"/>
  <c r="E31" i="69"/>
  <c r="G28" i="69"/>
  <c r="AK11" i="70"/>
  <c r="AL41" i="70"/>
  <c r="G61" i="69"/>
  <c r="G37" i="69"/>
  <c r="G44" i="66"/>
  <c r="G12" i="69"/>
  <c r="AJ61" i="66"/>
  <c r="G13" i="66"/>
  <c r="AK44" i="70"/>
  <c r="AJ65" i="68"/>
  <c r="AJ12" i="66"/>
  <c r="AJ26" i="66"/>
  <c r="G40" i="66"/>
  <c r="AJ66" i="68"/>
  <c r="AL11" i="70"/>
  <c r="AL10" i="69"/>
  <c r="AJ45" i="69"/>
  <c r="AJ52" i="68"/>
  <c r="AJ14" i="69"/>
  <c r="AL53" i="70"/>
  <c r="E17" i="70"/>
  <c r="AL42" i="70"/>
  <c r="AJ25" i="66"/>
  <c r="G48" i="66"/>
  <c r="G53" i="66"/>
  <c r="G22" i="66"/>
  <c r="E21" i="70"/>
  <c r="G7" i="68"/>
  <c r="AJ13" i="69"/>
  <c r="AJ17" i="68"/>
  <c r="E26" i="69"/>
  <c r="AL19" i="70"/>
  <c r="AJ36" i="69"/>
  <c r="AJ51" i="69"/>
  <c r="AJ45" i="68"/>
  <c r="AK7" i="70"/>
  <c r="AL35" i="70"/>
  <c r="G53" i="69"/>
  <c r="AJ17" i="65"/>
  <c r="AK61" i="70"/>
  <c r="G32" i="68"/>
  <c r="G16" i="69"/>
  <c r="AJ55" i="69"/>
  <c r="E49" i="70"/>
  <c r="AL49" i="70"/>
  <c r="AL38" i="70"/>
  <c r="AJ11" i="66"/>
  <c r="AJ20" i="69"/>
  <c r="E40" i="70"/>
  <c r="E24" i="70"/>
  <c r="AK33" i="70"/>
  <c r="G50" i="66"/>
  <c r="G14" i="66"/>
  <c r="AK17" i="70"/>
  <c r="AK23" i="70"/>
  <c r="E33" i="70"/>
  <c r="AL14" i="70"/>
  <c r="AJ55" i="66"/>
  <c r="E34" i="70"/>
  <c r="G41" i="66"/>
  <c r="AJ22" i="66"/>
  <c r="AJ21" i="69"/>
  <c r="AL54" i="70"/>
  <c r="AL13" i="70"/>
  <c r="AJ12" i="69"/>
  <c r="AJ24" i="66"/>
  <c r="AJ28" i="69"/>
  <c r="E35" i="70"/>
  <c r="E52" i="70"/>
  <c r="E32" i="70"/>
  <c r="AK43" i="70"/>
  <c r="G10" i="69"/>
  <c r="G26" i="66"/>
  <c r="G29" i="66"/>
  <c r="AJ60" i="66"/>
  <c r="G39" i="66"/>
  <c r="AJ56" i="66"/>
  <c r="G34" i="69"/>
  <c r="AJ43" i="66"/>
  <c r="AJ33" i="69"/>
  <c r="G30" i="66"/>
  <c r="AJ49" i="69"/>
  <c r="AL44" i="70"/>
  <c r="AL7" i="69"/>
  <c r="AJ67" i="69"/>
  <c r="AJ15" i="68"/>
  <c r="AJ20" i="65"/>
  <c r="AK49" i="70"/>
  <c r="G42" i="69"/>
  <c r="AL43" i="70"/>
  <c r="G45" i="69"/>
  <c r="AJ44" i="68"/>
  <c r="AJ61" i="69"/>
  <c r="AJ12" i="68"/>
  <c r="G33" i="69"/>
  <c r="E42" i="70"/>
  <c r="G27" i="68"/>
  <c r="E44" i="70"/>
  <c r="AK16" i="70"/>
  <c r="AK7" i="69"/>
  <c r="G11" i="66"/>
  <c r="AJ31" i="66"/>
  <c r="G19" i="69"/>
  <c r="AJ13" i="66"/>
  <c r="G24" i="66"/>
  <c r="AJ18" i="66"/>
  <c r="AL34" i="70"/>
  <c r="AJ14" i="68"/>
  <c r="AL15" i="70"/>
  <c r="AJ10" i="68"/>
  <c r="G28" i="66"/>
  <c r="E43" i="70"/>
  <c r="AJ67" i="68"/>
  <c r="AK34" i="70"/>
  <c r="AJ28" i="68"/>
  <c r="G46" i="66"/>
  <c r="AJ23" i="69"/>
  <c r="G21" i="69"/>
  <c r="G23" i="66"/>
  <c r="AL25" i="70"/>
  <c r="AK41" i="70"/>
  <c r="AJ28" i="66"/>
  <c r="AJ30" i="69"/>
  <c r="AJ60" i="68"/>
  <c r="AJ47" i="68"/>
  <c r="G30" i="69"/>
  <c r="G40" i="69"/>
  <c r="AJ54" i="69"/>
  <c r="AJ64" i="66"/>
  <c r="AL40" i="70"/>
  <c r="AL51" i="70"/>
  <c r="AJ46" i="66"/>
  <c r="AJ47" i="66"/>
  <c r="G9" i="66"/>
  <c r="AK40" i="70"/>
  <c r="G41" i="68"/>
  <c r="E27" i="70"/>
  <c r="G35" i="69"/>
  <c r="G42" i="68"/>
  <c r="AJ15" i="66"/>
  <c r="G38" i="68"/>
  <c r="AJ48" i="69"/>
  <c r="G49" i="66"/>
  <c r="AJ66" i="66"/>
  <c r="G26" i="68"/>
  <c r="E27" i="69"/>
  <c r="AJ19" i="66"/>
  <c r="G12" i="66"/>
  <c r="G44" i="69"/>
  <c r="AJ19" i="68"/>
  <c r="AJ65" i="69"/>
  <c r="AJ36" i="66"/>
  <c r="AJ53" i="66"/>
  <c r="G27" i="66"/>
  <c r="G29" i="69"/>
  <c r="G16" i="66"/>
  <c r="G34" i="66"/>
  <c r="AK26" i="70"/>
  <c r="AL33" i="70"/>
  <c r="AJ32" i="68"/>
  <c r="G17" i="68"/>
  <c r="E37" i="70"/>
  <c r="E7" i="70"/>
  <c r="AJ8" i="68"/>
  <c r="AJ59" i="68"/>
  <c r="AJ38" i="69"/>
  <c r="AJ30" i="68"/>
  <c r="AJ43" i="68"/>
  <c r="AJ8" i="66"/>
  <c r="G36" i="69"/>
  <c r="AJ16" i="66"/>
  <c r="AJ62" i="66"/>
  <c r="AJ37" i="66"/>
  <c r="AJ59" i="69"/>
  <c r="AJ40" i="69"/>
  <c r="E8" i="70"/>
  <c r="G51" i="68"/>
  <c r="AK45" i="70"/>
  <c r="AJ49" i="66"/>
  <c r="AJ63" i="68"/>
  <c r="AJ32" i="69"/>
  <c r="AJ38" i="68"/>
  <c r="G32" i="69"/>
  <c r="E13" i="70"/>
  <c r="E19" i="70"/>
  <c r="G43" i="68"/>
  <c r="AL16" i="70"/>
  <c r="G8" i="66"/>
  <c r="AJ39" i="69"/>
  <c r="G38" i="66"/>
  <c r="E6" i="66"/>
  <c r="G35" i="68"/>
  <c r="G20" i="66"/>
  <c r="G52" i="69"/>
  <c r="G47" i="66"/>
  <c r="G14" i="68"/>
  <c r="AK51" i="70"/>
  <c r="G18" i="66"/>
  <c r="AJ7" i="66"/>
  <c r="G42" i="66"/>
  <c r="AK29" i="70"/>
  <c r="E29" i="70"/>
  <c r="G14" i="69"/>
  <c r="AJ42" i="68"/>
  <c r="AJ39" i="66"/>
  <c r="AL48" i="70"/>
  <c r="E16" i="70"/>
  <c r="E25" i="70"/>
  <c r="G45" i="68"/>
  <c r="AL31" i="70"/>
  <c r="G37" i="68"/>
  <c r="AJ24" i="69"/>
  <c r="AJ48" i="68"/>
  <c r="AJ50" i="66"/>
  <c r="G46" i="69"/>
  <c r="AJ35" i="66"/>
  <c r="G47" i="68"/>
  <c r="AJ40" i="68"/>
  <c r="G7" i="66"/>
  <c r="G22" i="69"/>
  <c r="AJ9" i="68"/>
  <c r="G39" i="68"/>
  <c r="AL23" i="70"/>
  <c r="AJ49" i="68"/>
  <c r="AJ58" i="66"/>
  <c r="G10" i="66"/>
  <c r="G13" i="68"/>
  <c r="AJ62" i="69"/>
  <c r="AL27" i="70"/>
  <c r="G8" i="68"/>
  <c r="AL45" i="70"/>
  <c r="AJ30" i="66"/>
  <c r="AU7" i="7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AA11" i="70" s="1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R14" i="70"/>
  <c r="S12" i="70" s="1"/>
  <c r="AA13" i="70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L9" i="68"/>
  <c r="AK40" i="68"/>
  <c r="AK48" i="68"/>
  <c r="E52" i="69"/>
  <c r="E8" i="66"/>
  <c r="E32" i="69"/>
  <c r="AK32" i="69"/>
  <c r="E51" i="68"/>
  <c r="AL43" i="68"/>
  <c r="AK38" i="69"/>
  <c r="AK8" i="68"/>
  <c r="AK32" i="68"/>
  <c r="AK19" i="68"/>
  <c r="E38" i="68"/>
  <c r="AL54" i="69"/>
  <c r="AK47" i="68"/>
  <c r="AL30" i="69"/>
  <c r="AK28" i="68"/>
  <c r="AL12" i="68"/>
  <c r="AK44" i="68"/>
  <c r="AK15" i="68"/>
  <c r="AL49" i="69"/>
  <c r="E26" i="66"/>
  <c r="AL28" i="69"/>
  <c r="AK21" i="69"/>
  <c r="AL20" i="69"/>
  <c r="E16" i="69"/>
  <c r="AL45" i="68"/>
  <c r="AL36" i="69"/>
  <c r="AL17" i="68"/>
  <c r="E22" i="66"/>
  <c r="AK52" i="68"/>
  <c r="E12" i="69"/>
  <c r="AL24" i="68"/>
  <c r="E8" i="69"/>
  <c r="AK47" i="69"/>
  <c r="AL46" i="69"/>
  <c r="AL35" i="68"/>
  <c r="E40" i="68"/>
  <c r="AK31" i="68"/>
  <c r="AL53" i="69"/>
  <c r="AL13" i="68"/>
  <c r="AL8" i="69"/>
  <c r="AL18" i="69"/>
  <c r="AL34" i="69"/>
  <c r="AL53" i="68"/>
  <c r="AK31" i="69"/>
  <c r="AL29" i="69"/>
  <c r="AL40" i="66"/>
  <c r="AK35" i="69"/>
  <c r="E16" i="68"/>
  <c r="AL54" i="66"/>
  <c r="AL11" i="68"/>
  <c r="AK37" i="68"/>
  <c r="AK19" i="69"/>
  <c r="E29" i="68"/>
  <c r="AL29" i="68"/>
  <c r="AK34" i="68"/>
  <c r="E52" i="68"/>
  <c r="AL44" i="69"/>
  <c r="E17" i="69"/>
  <c r="E10" i="68"/>
  <c r="AL17" i="69"/>
  <c r="AL33" i="68"/>
  <c r="E48" i="68"/>
  <c r="AK51" i="68"/>
  <c r="AK39" i="68"/>
  <c r="AK41" i="69"/>
  <c r="AK41" i="68"/>
  <c r="AK25" i="68"/>
  <c r="AL50" i="69"/>
  <c r="E32" i="66"/>
  <c r="E41" i="69"/>
  <c r="AL37" i="69"/>
  <c r="AL36" i="68"/>
  <c r="E61" i="68"/>
  <c r="E22" i="69"/>
  <c r="E47" i="68"/>
  <c r="AL24" i="69"/>
  <c r="AK42" i="68"/>
  <c r="E18" i="66"/>
  <c r="E35" i="68"/>
  <c r="AK38" i="68"/>
  <c r="AL40" i="69"/>
  <c r="AK43" i="68"/>
  <c r="AL38" i="69"/>
  <c r="AL8" i="68"/>
  <c r="E8" i="68"/>
  <c r="AL49" i="68"/>
  <c r="E39" i="68"/>
  <c r="E7" i="66"/>
  <c r="E46" i="69"/>
  <c r="AK24" i="69"/>
  <c r="E45" i="68"/>
  <c r="AL42" i="68"/>
  <c r="AL39" i="69"/>
  <c r="AL38" i="68"/>
  <c r="AK40" i="69"/>
  <c r="AL30" i="68"/>
  <c r="E44" i="69"/>
  <c r="AK48" i="69"/>
  <c r="E35" i="69"/>
  <c r="E40" i="69"/>
  <c r="AL23" i="69"/>
  <c r="AL10" i="68"/>
  <c r="AL14" i="68"/>
  <c r="E24" i="66"/>
  <c r="E27" i="68"/>
  <c r="AL61" i="69"/>
  <c r="E45" i="69"/>
  <c r="AL33" i="69"/>
  <c r="AK12" i="69"/>
  <c r="AK51" i="69"/>
  <c r="AL13" i="69"/>
  <c r="AL14" i="69"/>
  <c r="AK45" i="69"/>
  <c r="E61" i="69"/>
  <c r="E28" i="69"/>
  <c r="E24" i="68"/>
  <c r="AK52" i="69"/>
  <c r="AK22" i="69"/>
  <c r="E50" i="68"/>
  <c r="E54" i="68"/>
  <c r="E9" i="69"/>
  <c r="AL25" i="69"/>
  <c r="AL20" i="68"/>
  <c r="AL27" i="68"/>
  <c r="E30" i="68"/>
  <c r="E28" i="68"/>
  <c r="E47" i="69"/>
  <c r="E25" i="69"/>
  <c r="AK27" i="69"/>
  <c r="AK16" i="68"/>
  <c r="E18" i="69"/>
  <c r="E9" i="68"/>
  <c r="AK16" i="69"/>
  <c r="AL26" i="69"/>
  <c r="E34" i="68"/>
  <c r="AK22" i="68"/>
  <c r="AL21" i="68"/>
  <c r="E50" i="69"/>
  <c r="AK15" i="69"/>
  <c r="AL43" i="69"/>
  <c r="E53" i="68"/>
  <c r="E20" i="68"/>
  <c r="AL50" i="68"/>
  <c r="E15" i="68"/>
  <c r="AL7" i="68"/>
  <c r="E21" i="68"/>
  <c r="AK42" i="69"/>
  <c r="AL46" i="68"/>
  <c r="AK54" i="68"/>
  <c r="AK61" i="68"/>
  <c r="AK11" i="69"/>
  <c r="AK18" i="68"/>
  <c r="AK23" i="68"/>
  <c r="AK9" i="69"/>
  <c r="AL26" i="68"/>
  <c r="AK9" i="68"/>
  <c r="E14" i="69"/>
  <c r="AK39" i="69"/>
  <c r="AL32" i="69"/>
  <c r="E36" i="69"/>
  <c r="AK54" i="69"/>
  <c r="AK10" i="68"/>
  <c r="AL44" i="68"/>
  <c r="AK49" i="69"/>
  <c r="E53" i="69"/>
  <c r="AK45" i="68"/>
  <c r="AK14" i="69"/>
  <c r="E37" i="69"/>
  <c r="E54" i="66"/>
  <c r="AL47" i="69"/>
  <c r="AK46" i="69"/>
  <c r="AL22" i="69"/>
  <c r="E51" i="69"/>
  <c r="AK13" i="68"/>
  <c r="AK27" i="68"/>
  <c r="E23" i="68"/>
  <c r="AL16" i="68"/>
  <c r="E33" i="68"/>
  <c r="E19" i="68"/>
  <c r="AL22" i="68"/>
  <c r="AK11" i="68"/>
  <c r="AL19" i="69"/>
  <c r="E39" i="69"/>
  <c r="AK17" i="69"/>
  <c r="E11" i="68"/>
  <c r="AK50" i="68"/>
  <c r="AL51" i="68"/>
  <c r="AL41" i="69"/>
  <c r="AK46" i="68"/>
  <c r="AK37" i="69"/>
  <c r="E44" i="68"/>
  <c r="AK18" i="69"/>
  <c r="E36" i="68"/>
  <c r="AK50" i="69"/>
  <c r="AL11" i="69"/>
  <c r="AK49" i="68"/>
  <c r="AL40" i="68"/>
  <c r="AK30" i="68"/>
  <c r="E17" i="68"/>
  <c r="AL19" i="68"/>
  <c r="AL48" i="69"/>
  <c r="E9" i="66"/>
  <c r="E30" i="69"/>
  <c r="AK30" i="69"/>
  <c r="E21" i="69"/>
  <c r="E33" i="69"/>
  <c r="AL15" i="68"/>
  <c r="AK33" i="69"/>
  <c r="AK28" i="69"/>
  <c r="AL51" i="69"/>
  <c r="AK17" i="68"/>
  <c r="AL52" i="68"/>
  <c r="AK24" i="68"/>
  <c r="E49" i="68"/>
  <c r="AK53" i="69"/>
  <c r="AK8" i="69"/>
  <c r="E22" i="68"/>
  <c r="AK34" i="69"/>
  <c r="AL31" i="69"/>
  <c r="E54" i="69"/>
  <c r="AL27" i="69"/>
  <c r="E20" i="69"/>
  <c r="AL35" i="69"/>
  <c r="AL16" i="69"/>
  <c r="AL37" i="68"/>
  <c r="AL15" i="69"/>
  <c r="AK43" i="69"/>
  <c r="AK29" i="68"/>
  <c r="E49" i="69"/>
  <c r="AL25" i="68"/>
  <c r="AL23" i="68"/>
  <c r="AK26" i="68"/>
  <c r="AK21" i="68"/>
  <c r="AK44" i="69"/>
  <c r="AL61" i="68"/>
  <c r="E13" i="68"/>
  <c r="AL48" i="68"/>
  <c r="AL32" i="68"/>
  <c r="E29" i="69"/>
  <c r="E26" i="68"/>
  <c r="E42" i="68"/>
  <c r="AL47" i="68"/>
  <c r="AK23" i="69"/>
  <c r="E19" i="69"/>
  <c r="AK12" i="68"/>
  <c r="E34" i="69"/>
  <c r="AL12" i="69"/>
  <c r="E32" i="68"/>
  <c r="AK36" i="69"/>
  <c r="AK13" i="69"/>
  <c r="AL45" i="69"/>
  <c r="E46" i="68"/>
  <c r="E7" i="69"/>
  <c r="AL31" i="68"/>
  <c r="AK25" i="69"/>
  <c r="AK20" i="68"/>
  <c r="AK53" i="68"/>
  <c r="E13" i="69"/>
  <c r="AK40" i="66"/>
  <c r="AK54" i="66"/>
  <c r="E43" i="69"/>
  <c r="E11" i="69"/>
  <c r="E18" i="68"/>
  <c r="AL39" i="68"/>
  <c r="AL41" i="68"/>
  <c r="AL42" i="69"/>
  <c r="E48" i="69"/>
  <c r="AK36" i="68"/>
  <c r="E28" i="66"/>
  <c r="E42" i="69"/>
  <c r="E25" i="68"/>
  <c r="AK29" i="69"/>
  <c r="AK26" i="69"/>
  <c r="E31" i="68"/>
  <c r="E12" i="68"/>
  <c r="E24" i="69"/>
  <c r="AL54" i="68"/>
  <c r="AL9" i="69"/>
  <c r="E37" i="68"/>
  <c r="E14" i="68"/>
  <c r="E43" i="68"/>
  <c r="E41" i="68"/>
  <c r="AL28" i="68"/>
  <c r="AK14" i="68"/>
  <c r="AK61" i="69"/>
  <c r="E10" i="69"/>
  <c r="AL21" i="69"/>
  <c r="AK20" i="69"/>
  <c r="E7" i="68"/>
  <c r="AL52" i="69"/>
  <c r="AK35" i="68"/>
  <c r="AL34" i="68"/>
  <c r="AK33" i="68"/>
  <c r="AK7" i="68"/>
  <c r="AL18" i="68"/>
  <c r="AA10" i="70" l="1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AA11" i="69" s="1"/>
  <c r="R9" i="69"/>
  <c r="R8" i="69"/>
  <c r="U13" i="69"/>
  <c r="V13" i="69" s="1"/>
  <c r="O12" i="69"/>
  <c r="AA12" i="69" s="1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AA14" i="70" s="1"/>
  <c r="O14" i="70"/>
  <c r="P11" i="70" s="1"/>
  <c r="U14" i="70"/>
  <c r="S9" i="70"/>
  <c r="AA9" i="68"/>
  <c r="BI50" i="5"/>
  <c r="Q11" i="9" s="1"/>
  <c r="Q14" i="9" s="1"/>
  <c r="BI51" i="5"/>
  <c r="Q12" i="9" s="1"/>
  <c r="BI52" i="5"/>
  <c r="Q13" i="9" s="1"/>
  <c r="AA13" i="68"/>
  <c r="AA11" i="68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P12" i="70"/>
  <c r="AA8" i="68"/>
  <c r="R14" i="68"/>
  <c r="S8" i="68" s="1"/>
  <c r="O14" i="68"/>
  <c r="P11" i="68" s="1"/>
  <c r="U14" i="68"/>
  <c r="U5" i="68" s="1"/>
  <c r="S14" i="70"/>
  <c r="S8" i="70"/>
  <c r="S10" i="70"/>
  <c r="S11" i="70"/>
  <c r="S13" i="70"/>
  <c r="R5" i="70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P8" i="70" l="1"/>
  <c r="AA10" i="69"/>
  <c r="AA8" i="69"/>
  <c r="AA13" i="69"/>
  <c r="R14" i="69"/>
  <c r="S12" i="69" s="1"/>
  <c r="AA12" i="68"/>
  <c r="O14" i="69"/>
  <c r="P10" i="69" s="1"/>
  <c r="S10" i="69"/>
  <c r="U5" i="70"/>
  <c r="V14" i="70"/>
  <c r="AA10" i="68"/>
  <c r="P10" i="70"/>
  <c r="O5" i="70"/>
  <c r="P14" i="70"/>
  <c r="P9" i="70"/>
  <c r="AA9" i="69"/>
  <c r="U14" i="69"/>
  <c r="V14" i="69" s="1"/>
  <c r="S13" i="68"/>
  <c r="S11" i="68"/>
  <c r="S10" i="68"/>
  <c r="R5" i="68"/>
  <c r="S12" i="68"/>
  <c r="AA14" i="68"/>
  <c r="S9" i="68"/>
  <c r="S14" i="68"/>
  <c r="P12" i="69"/>
  <c r="S14" i="69"/>
  <c r="P9" i="69"/>
  <c r="S8" i="69"/>
  <c r="S9" i="69"/>
  <c r="P8" i="69"/>
  <c r="R5" i="69"/>
  <c r="S11" i="69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U5" i="69" l="1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CC31" i="7"/>
  <c r="CC21" i="7"/>
  <c r="CC11" i="7"/>
  <c r="CC7" i="7"/>
  <c r="BE50" i="5" l="1"/>
  <c r="P11" i="9" s="1"/>
  <c r="BE58" i="5"/>
  <c r="BE52" i="5"/>
  <c r="P13" i="9" s="1"/>
  <c r="BE51" i="5"/>
  <c r="P12" i="9" s="1"/>
  <c r="P14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H44" i="85" l="1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J61" i="61"/>
  <c r="G39" i="58"/>
  <c r="G10" i="57"/>
  <c r="E41" i="66"/>
  <c r="G61" i="60"/>
  <c r="AJ62" i="60"/>
  <c r="G7" i="63"/>
  <c r="AJ48" i="65"/>
  <c r="AK19" i="66"/>
  <c r="AK52" i="66"/>
  <c r="AJ19" i="60"/>
  <c r="G43" i="64"/>
  <c r="G33" i="57"/>
  <c r="AJ50" i="60"/>
  <c r="AK34" i="66"/>
  <c r="AJ64" i="58"/>
  <c r="AJ33" i="60"/>
  <c r="AJ53" i="63"/>
  <c r="AJ52" i="57"/>
  <c r="AJ40" i="63"/>
  <c r="AJ54" i="64"/>
  <c r="AJ67" i="57"/>
  <c r="G25" i="63"/>
  <c r="AL31" i="66"/>
  <c r="G23" i="57"/>
  <c r="AJ51" i="57"/>
  <c r="AJ33" i="61"/>
  <c r="G42" i="61"/>
  <c r="AL16" i="66"/>
  <c r="G33" i="63"/>
  <c r="AJ11" i="64"/>
  <c r="AJ26" i="63"/>
  <c r="G26" i="65"/>
  <c r="AK25" i="66"/>
  <c r="AJ27" i="58"/>
  <c r="AJ13" i="58"/>
  <c r="AJ28" i="60"/>
  <c r="G41" i="64"/>
  <c r="AJ12" i="57"/>
  <c r="AJ9" i="61"/>
  <c r="AK35" i="66"/>
  <c r="G30" i="58"/>
  <c r="G19" i="65"/>
  <c r="AJ10" i="64"/>
  <c r="E33" i="66"/>
  <c r="AJ24" i="58"/>
  <c r="AJ65" i="65"/>
  <c r="AJ42" i="61"/>
  <c r="G19" i="61"/>
  <c r="AJ48" i="63"/>
  <c r="AJ21" i="64"/>
  <c r="G30" i="61"/>
  <c r="AJ36" i="61"/>
  <c r="G49" i="63"/>
  <c r="AJ28" i="57"/>
  <c r="E6" i="63"/>
  <c r="AJ17" i="61"/>
  <c r="G50" i="57"/>
  <c r="AJ9" i="58"/>
  <c r="G15" i="61"/>
  <c r="AJ54" i="65"/>
  <c r="AJ49" i="57"/>
  <c r="AJ31" i="58"/>
  <c r="G54" i="57"/>
  <c r="AJ60" i="60"/>
  <c r="G17" i="58"/>
  <c r="G61" i="58"/>
  <c r="AJ61" i="57"/>
  <c r="AJ11" i="60"/>
  <c r="AJ27" i="63"/>
  <c r="AJ47" i="57"/>
  <c r="AJ49" i="58"/>
  <c r="AJ57" i="64"/>
  <c r="G24" i="60"/>
  <c r="G22" i="63"/>
  <c r="G18" i="64"/>
  <c r="AJ61" i="60"/>
  <c r="AJ45" i="64"/>
  <c r="AJ13" i="63"/>
  <c r="AJ58" i="58"/>
  <c r="AJ67" i="63"/>
  <c r="AL35" i="66"/>
  <c r="AK32" i="66"/>
  <c r="AL13" i="66"/>
  <c r="AK20" i="66"/>
  <c r="AJ38" i="60"/>
  <c r="AJ41" i="63"/>
  <c r="G11" i="65"/>
  <c r="AK53" i="66"/>
  <c r="AL14" i="66"/>
  <c r="G29" i="58"/>
  <c r="AJ31" i="64"/>
  <c r="AJ45" i="65"/>
  <c r="AJ29" i="64"/>
  <c r="G39" i="65"/>
  <c r="AJ24" i="57"/>
  <c r="AJ44" i="61"/>
  <c r="AK24" i="66"/>
  <c r="AL12" i="66"/>
  <c r="AJ67" i="58"/>
  <c r="G32" i="63"/>
  <c r="AJ56" i="65"/>
  <c r="AJ8" i="57"/>
  <c r="G20" i="64"/>
  <c r="G16" i="64"/>
  <c r="AJ60" i="64"/>
  <c r="AJ53" i="64"/>
  <c r="AJ19" i="64"/>
  <c r="AJ54" i="60"/>
  <c r="AL38" i="66"/>
  <c r="G49" i="60"/>
  <c r="G21" i="61"/>
  <c r="E38" i="66"/>
  <c r="AL11" i="66"/>
  <c r="AJ25" i="63"/>
  <c r="AJ17" i="58"/>
  <c r="AJ27" i="61"/>
  <c r="G38" i="64"/>
  <c r="G9" i="61"/>
  <c r="AK17" i="65"/>
  <c r="AJ63" i="58"/>
  <c r="AK12" i="66"/>
  <c r="G19" i="58"/>
  <c r="AK42" i="66"/>
  <c r="G14" i="61"/>
  <c r="AL28" i="66"/>
  <c r="AJ16" i="61"/>
  <c r="AL18" i="66"/>
  <c r="G13" i="64"/>
  <c r="G50" i="65"/>
  <c r="G51" i="64"/>
  <c r="G44" i="60"/>
  <c r="AK31" i="66"/>
  <c r="AK10" i="66"/>
  <c r="G14" i="63"/>
  <c r="AJ56" i="57"/>
  <c r="AJ8" i="64"/>
  <c r="AJ37" i="64"/>
  <c r="AJ14" i="60"/>
  <c r="AJ40" i="65"/>
  <c r="E20" i="66"/>
  <c r="AJ67" i="65"/>
  <c r="AJ18" i="60"/>
  <c r="AJ36" i="58"/>
  <c r="G54" i="64"/>
  <c r="G51" i="60"/>
  <c r="G43" i="65"/>
  <c r="AJ22" i="63"/>
  <c r="AJ48" i="61"/>
  <c r="AJ39" i="57"/>
  <c r="G32" i="60"/>
  <c r="AJ54" i="61"/>
  <c r="AJ60" i="57"/>
  <c r="G37" i="60"/>
  <c r="AJ7" i="63"/>
  <c r="G54" i="58"/>
  <c r="G11" i="61"/>
  <c r="G22" i="61"/>
  <c r="AJ36" i="60"/>
  <c r="AJ30" i="63"/>
  <c r="G47" i="61"/>
  <c r="AJ28" i="63"/>
  <c r="G39" i="63"/>
  <c r="AJ43" i="63"/>
  <c r="G21" i="57"/>
  <c r="E6" i="60"/>
  <c r="G11" i="64"/>
  <c r="G9" i="60"/>
  <c r="G21" i="60"/>
  <c r="E43" i="66"/>
  <c r="G15" i="60"/>
  <c r="AJ61" i="65"/>
  <c r="E30" i="66"/>
  <c r="AJ58" i="64"/>
  <c r="AJ54" i="58"/>
  <c r="AJ17" i="63"/>
  <c r="AJ47" i="58"/>
  <c r="AL41" i="66"/>
  <c r="AK14" i="66"/>
  <c r="AK38" i="66"/>
  <c r="AJ18" i="58"/>
  <c r="AJ32" i="60"/>
  <c r="G13" i="60"/>
  <c r="AL22" i="66"/>
  <c r="AJ38" i="57"/>
  <c r="AL20" i="65"/>
  <c r="AJ12" i="63"/>
  <c r="G38" i="58"/>
  <c r="E10" i="66"/>
  <c r="G27" i="63"/>
  <c r="AJ30" i="58"/>
  <c r="G37" i="63"/>
  <c r="AL10" i="66"/>
  <c r="G48" i="65"/>
  <c r="AJ33" i="65"/>
  <c r="E48" i="66"/>
  <c r="AJ21" i="57"/>
  <c r="G41" i="57"/>
  <c r="AJ55" i="61"/>
  <c r="G33" i="58"/>
  <c r="AJ37" i="65"/>
  <c r="AJ43" i="57"/>
  <c r="AJ11" i="57"/>
  <c r="AJ10" i="61"/>
  <c r="AK30" i="66"/>
  <c r="G29" i="60"/>
  <c r="AJ11" i="63"/>
  <c r="AJ57" i="58"/>
  <c r="G35" i="61"/>
  <c r="AL30" i="66"/>
  <c r="AJ59" i="58"/>
  <c r="AK26" i="66"/>
  <c r="G39" i="60"/>
  <c r="G52" i="65"/>
  <c r="G36" i="57"/>
  <c r="AJ11" i="61"/>
  <c r="G51" i="65"/>
  <c r="AJ30" i="61"/>
  <c r="AJ59" i="64"/>
  <c r="G51" i="61"/>
  <c r="G50" i="61"/>
  <c r="AJ8" i="58"/>
  <c r="G48" i="61"/>
  <c r="G51" i="63"/>
  <c r="AJ34" i="57"/>
  <c r="AJ7" i="57"/>
  <c r="G52" i="58"/>
  <c r="G25" i="61"/>
  <c r="G24" i="64"/>
  <c r="G8" i="58"/>
  <c r="AL15" i="66"/>
  <c r="G24" i="57"/>
  <c r="G27" i="64"/>
  <c r="G31" i="60"/>
  <c r="G33" i="64"/>
  <c r="AJ48" i="58"/>
  <c r="AJ59" i="57"/>
  <c r="G27" i="65"/>
  <c r="E14" i="66"/>
  <c r="AJ19" i="65"/>
  <c r="G28" i="64"/>
  <c r="G20" i="58"/>
  <c r="G44" i="65"/>
  <c r="AJ17" i="60"/>
  <c r="AJ34" i="60"/>
  <c r="G14" i="60"/>
  <c r="G23" i="61"/>
  <c r="E45" i="66"/>
  <c r="G18" i="63"/>
  <c r="G61" i="65"/>
  <c r="G31" i="57"/>
  <c r="G16" i="63"/>
  <c r="G40" i="65"/>
  <c r="AJ40" i="58"/>
  <c r="AJ10" i="63"/>
  <c r="G52" i="61"/>
  <c r="AL26" i="66"/>
  <c r="AK21" i="66"/>
  <c r="AJ40" i="60"/>
  <c r="G37" i="65"/>
  <c r="G12" i="61"/>
  <c r="AJ18" i="57"/>
  <c r="G43" i="63"/>
  <c r="G46" i="61"/>
  <c r="G26" i="63"/>
  <c r="AJ41" i="64"/>
  <c r="AJ43" i="60"/>
  <c r="AL34" i="66"/>
  <c r="G31" i="63"/>
  <c r="AJ42" i="63"/>
  <c r="AJ47" i="65"/>
  <c r="AL47" i="66"/>
  <c r="AJ22" i="57"/>
  <c r="AJ46" i="64"/>
  <c r="AJ14" i="65"/>
  <c r="AJ9" i="60"/>
  <c r="E37" i="66"/>
  <c r="E6" i="57"/>
  <c r="E6" i="58"/>
  <c r="G52" i="57"/>
  <c r="AK13" i="66"/>
  <c r="G12" i="63"/>
  <c r="AJ66" i="64"/>
  <c r="AJ10" i="60"/>
  <c r="G10" i="60"/>
  <c r="AL20" i="66"/>
  <c r="E19" i="66"/>
  <c r="AJ13" i="57"/>
  <c r="AJ35" i="63"/>
  <c r="G41" i="61"/>
  <c r="AK37" i="66"/>
  <c r="AJ41" i="61"/>
  <c r="AJ9" i="64"/>
  <c r="E40" i="66"/>
  <c r="G23" i="64"/>
  <c r="AJ33" i="64"/>
  <c r="AJ62" i="64"/>
  <c r="AK44" i="66"/>
  <c r="G13" i="61"/>
  <c r="AJ14" i="63"/>
  <c r="AJ58" i="63"/>
  <c r="G62" i="64"/>
  <c r="E47" i="66"/>
  <c r="G47" i="63"/>
  <c r="AJ64" i="63"/>
  <c r="AJ27" i="65"/>
  <c r="AJ28" i="65"/>
  <c r="G10" i="58"/>
  <c r="G46" i="63"/>
  <c r="AK41" i="66"/>
  <c r="G9" i="57"/>
  <c r="AJ46" i="63"/>
  <c r="G36" i="64"/>
  <c r="AJ66" i="60"/>
  <c r="AJ55" i="64"/>
  <c r="G12" i="58"/>
  <c r="G62" i="58"/>
  <c r="G44" i="64"/>
  <c r="G38" i="60"/>
  <c r="AJ8" i="65"/>
  <c r="AJ36" i="63"/>
  <c r="G45" i="58"/>
  <c r="AJ29" i="58"/>
  <c r="AK39" i="66"/>
  <c r="G24" i="61"/>
  <c r="G61" i="63"/>
  <c r="AJ46" i="60"/>
  <c r="AJ10" i="65"/>
  <c r="G55" i="64"/>
  <c r="AJ21" i="63"/>
  <c r="AJ28" i="64"/>
  <c r="G24" i="65"/>
  <c r="AL32" i="66"/>
  <c r="G61" i="64"/>
  <c r="AJ31" i="61"/>
  <c r="G48" i="64"/>
  <c r="AJ43" i="58"/>
  <c r="AJ66" i="57"/>
  <c r="G45" i="63"/>
  <c r="AJ64" i="60"/>
  <c r="G10" i="65"/>
  <c r="G18" i="58"/>
  <c r="G9" i="58"/>
  <c r="AJ45" i="57"/>
  <c r="AJ63" i="57"/>
  <c r="G53" i="57"/>
  <c r="AJ32" i="57"/>
  <c r="G17" i="60"/>
  <c r="G17" i="57"/>
  <c r="G53" i="64"/>
  <c r="AJ67" i="61"/>
  <c r="AJ37" i="58"/>
  <c r="AJ59" i="60"/>
  <c r="G25" i="57"/>
  <c r="AJ38" i="63"/>
  <c r="E31" i="66"/>
  <c r="G26" i="58"/>
  <c r="AL39" i="66"/>
  <c r="AJ47" i="64"/>
  <c r="AJ56" i="58"/>
  <c r="AJ44" i="64"/>
  <c r="G39" i="57"/>
  <c r="G33" i="60"/>
  <c r="G19" i="57"/>
  <c r="AJ37" i="57"/>
  <c r="AJ22" i="58"/>
  <c r="G46" i="64"/>
  <c r="AJ50" i="65"/>
  <c r="AJ50" i="58"/>
  <c r="E46" i="66"/>
  <c r="G14" i="57"/>
  <c r="G12" i="60"/>
  <c r="E23" i="66"/>
  <c r="E44" i="66"/>
  <c r="AK27" i="66"/>
  <c r="G35" i="58"/>
  <c r="AJ26" i="57"/>
  <c r="AJ34" i="61"/>
  <c r="AJ59" i="65"/>
  <c r="AJ17" i="57"/>
  <c r="AJ51" i="63"/>
  <c r="AJ11" i="58"/>
  <c r="G31" i="64"/>
  <c r="G34" i="60"/>
  <c r="G29" i="61"/>
  <c r="AK61" i="66"/>
  <c r="AK17" i="66"/>
  <c r="AJ32" i="63"/>
  <c r="G47" i="65"/>
  <c r="G43" i="57"/>
  <c r="AL45" i="58"/>
  <c r="AJ12" i="60"/>
  <c r="G8" i="64"/>
  <c r="G56" i="60"/>
  <c r="AJ48" i="64"/>
  <c r="G39" i="61"/>
  <c r="AJ22" i="61"/>
  <c r="AK41" i="65"/>
  <c r="G46" i="58"/>
  <c r="AK49" i="66"/>
  <c r="G7" i="58"/>
  <c r="AJ23" i="61"/>
  <c r="G41" i="58"/>
  <c r="G34" i="57"/>
  <c r="G54" i="61"/>
  <c r="AJ33" i="58"/>
  <c r="G18" i="65"/>
  <c r="E36" i="66"/>
  <c r="G8" i="63"/>
  <c r="AJ29" i="57"/>
  <c r="AJ66" i="61"/>
  <c r="AL17" i="66"/>
  <c r="AJ46" i="61"/>
  <c r="AJ26" i="58"/>
  <c r="AJ32" i="61"/>
  <c r="AL46" i="66"/>
  <c r="AK29" i="66"/>
  <c r="AK43" i="66"/>
  <c r="G21" i="63"/>
  <c r="G29" i="57"/>
  <c r="G20" i="57"/>
  <c r="AJ53" i="58"/>
  <c r="AJ56" i="60"/>
  <c r="G53" i="60"/>
  <c r="AJ61" i="64"/>
  <c r="AJ47" i="61"/>
  <c r="G17" i="64"/>
  <c r="AJ54" i="57"/>
  <c r="AL7" i="66"/>
  <c r="G45" i="64"/>
  <c r="AK7" i="66"/>
  <c r="AJ43" i="61"/>
  <c r="AJ56" i="61"/>
  <c r="AJ48" i="60"/>
  <c r="G14" i="58"/>
  <c r="AJ32" i="58"/>
  <c r="AJ67" i="64"/>
  <c r="G13" i="65"/>
  <c r="G53" i="61"/>
  <c r="G44" i="63"/>
  <c r="AJ24" i="61"/>
  <c r="G49" i="65"/>
  <c r="G15" i="57"/>
  <c r="G30" i="65"/>
  <c r="AK24" i="65"/>
  <c r="AJ59" i="61"/>
  <c r="G22" i="60"/>
  <c r="AJ52" i="61"/>
  <c r="AK45" i="66"/>
  <c r="AJ49" i="64"/>
  <c r="G62" i="65"/>
  <c r="G50" i="63"/>
  <c r="AK22" i="65"/>
  <c r="G30" i="64"/>
  <c r="AJ40" i="57"/>
  <c r="AL49" i="66"/>
  <c r="AJ13" i="64"/>
  <c r="E52" i="66"/>
  <c r="G25" i="65"/>
  <c r="AJ36" i="65"/>
  <c r="AJ53" i="60"/>
  <c r="G35" i="63"/>
  <c r="AJ20" i="64"/>
  <c r="AL43" i="66"/>
  <c r="AJ35" i="60"/>
  <c r="AJ63" i="65"/>
  <c r="AL53" i="66"/>
  <c r="AJ66" i="65"/>
  <c r="G48" i="57"/>
  <c r="AJ57" i="63"/>
  <c r="AJ43" i="64"/>
  <c r="AJ60" i="61"/>
  <c r="G31" i="58"/>
  <c r="G45" i="65"/>
  <c r="G54" i="60"/>
  <c r="AJ21" i="58"/>
  <c r="AL61" i="66"/>
  <c r="E35" i="66"/>
  <c r="AJ62" i="65"/>
  <c r="G49" i="58"/>
  <c r="G42" i="63"/>
  <c r="G35" i="65"/>
  <c r="G19" i="63"/>
  <c r="AK48" i="66"/>
  <c r="E27" i="66"/>
  <c r="G20" i="61"/>
  <c r="G22" i="57"/>
  <c r="AJ52" i="58"/>
  <c r="AJ57" i="57"/>
  <c r="AJ33" i="57"/>
  <c r="G13" i="57"/>
  <c r="G29" i="65"/>
  <c r="AJ32" i="65"/>
  <c r="AJ30" i="64"/>
  <c r="AJ10" i="58"/>
  <c r="G10" i="63"/>
  <c r="G46" i="57"/>
  <c r="AJ39" i="61"/>
  <c r="AJ58" i="60"/>
  <c r="AL52" i="66"/>
  <c r="AJ22" i="60"/>
  <c r="E16" i="66"/>
  <c r="E15" i="66"/>
  <c r="G7" i="65"/>
  <c r="AJ12" i="64"/>
  <c r="G51" i="57"/>
  <c r="AJ46" i="58"/>
  <c r="AJ27" i="57"/>
  <c r="E39" i="66"/>
  <c r="AK47" i="66"/>
  <c r="AJ18" i="61"/>
  <c r="G27" i="58"/>
  <c r="E6" i="64"/>
  <c r="AJ65" i="57"/>
  <c r="AJ16" i="65"/>
  <c r="AJ8" i="60"/>
  <c r="AJ35" i="65"/>
  <c r="AJ41" i="57"/>
  <c r="AJ29" i="65"/>
  <c r="AL44" i="66"/>
  <c r="AJ15" i="58"/>
  <c r="E6" i="61"/>
  <c r="AJ36" i="57"/>
  <c r="G17" i="61"/>
  <c r="G13" i="63"/>
  <c r="G34" i="61"/>
  <c r="AJ65" i="60"/>
  <c r="AJ53" i="61"/>
  <c r="G62" i="61"/>
  <c r="G40" i="57"/>
  <c r="AJ18" i="64"/>
  <c r="E17" i="66"/>
  <c r="AJ28" i="58"/>
  <c r="AJ20" i="58"/>
  <c r="G53" i="63"/>
  <c r="AK15" i="66"/>
  <c r="G56" i="57"/>
  <c r="G9" i="65"/>
  <c r="AJ47" i="63"/>
  <c r="AJ19" i="63"/>
  <c r="AJ52" i="60"/>
  <c r="G16" i="65"/>
  <c r="G15" i="63"/>
  <c r="G57" i="57"/>
  <c r="G55" i="57"/>
  <c r="AL45" i="66"/>
  <c r="AK20" i="65"/>
  <c r="G61" i="61"/>
  <c r="AK18" i="66"/>
  <c r="G46" i="60"/>
  <c r="AK8" i="66"/>
  <c r="AJ20" i="63"/>
  <c r="AJ9" i="57"/>
  <c r="G30" i="57"/>
  <c r="AJ51" i="64"/>
  <c r="G12" i="64"/>
  <c r="G53" i="65"/>
  <c r="AJ43" i="65"/>
  <c r="AJ29" i="61"/>
  <c r="AJ23" i="57"/>
  <c r="E13" i="66"/>
  <c r="AJ38" i="61"/>
  <c r="AJ34" i="58"/>
  <c r="G40" i="64"/>
  <c r="AJ18" i="63"/>
  <c r="AJ40" i="64"/>
  <c r="G39" i="64"/>
  <c r="G7" i="60"/>
  <c r="AL25" i="66"/>
  <c r="AJ52" i="63"/>
  <c r="G31" i="65"/>
  <c r="AJ31" i="65"/>
  <c r="AJ24" i="64"/>
  <c r="G21" i="58"/>
  <c r="AJ23" i="63"/>
  <c r="AJ63" i="60"/>
  <c r="AK16" i="66"/>
  <c r="AJ42" i="64"/>
  <c r="G22" i="58"/>
  <c r="G45" i="57"/>
  <c r="AJ7" i="60"/>
  <c r="G53" i="58"/>
  <c r="AJ66" i="58"/>
  <c r="G20" i="65"/>
  <c r="G38" i="63"/>
  <c r="AJ38" i="58"/>
  <c r="G45" i="61"/>
  <c r="G38" i="57"/>
  <c r="AL23" i="66"/>
  <c r="G23" i="58"/>
  <c r="G25" i="60"/>
  <c r="G23" i="63"/>
  <c r="AJ20" i="60"/>
  <c r="G55" i="61"/>
  <c r="AJ51" i="61"/>
  <c r="AJ60" i="58"/>
  <c r="AJ39" i="64"/>
  <c r="G44" i="61"/>
  <c r="G50" i="58"/>
  <c r="G16" i="61"/>
  <c r="AJ65" i="64"/>
  <c r="G62" i="63"/>
  <c r="G20" i="60"/>
  <c r="AJ35" i="61"/>
  <c r="G12" i="65"/>
  <c r="AJ25" i="60"/>
  <c r="AJ9" i="65"/>
  <c r="G28" i="57"/>
  <c r="AJ24" i="63"/>
  <c r="G26" i="60"/>
  <c r="AJ48" i="57"/>
  <c r="AJ23" i="60"/>
  <c r="E42" i="66"/>
  <c r="AJ42" i="65"/>
  <c r="G42" i="58"/>
  <c r="AK36" i="66"/>
  <c r="AJ53" i="57"/>
  <c r="AJ63" i="61"/>
  <c r="G52" i="60"/>
  <c r="AJ27" i="64"/>
  <c r="G37" i="61"/>
  <c r="AJ63" i="63"/>
  <c r="G26" i="64"/>
  <c r="E25" i="66"/>
  <c r="G28" i="63"/>
  <c r="AJ59" i="63"/>
  <c r="AL50" i="66"/>
  <c r="E34" i="66"/>
  <c r="G50" i="60"/>
  <c r="AJ39" i="58"/>
  <c r="AJ34" i="63"/>
  <c r="AJ57" i="65"/>
  <c r="AJ37" i="61"/>
  <c r="G10" i="61"/>
  <c r="AJ14" i="61"/>
  <c r="AJ25" i="57"/>
  <c r="AJ52" i="64"/>
  <c r="G36" i="61"/>
  <c r="AL9" i="66"/>
  <c r="AJ16" i="64"/>
  <c r="AJ23" i="64"/>
  <c r="G34" i="64"/>
  <c r="AJ29" i="63"/>
  <c r="G45" i="60"/>
  <c r="G42" i="64"/>
  <c r="AJ50" i="64"/>
  <c r="G24" i="58"/>
  <c r="AJ15" i="64"/>
  <c r="AK22" i="66"/>
  <c r="G62" i="57"/>
  <c r="AJ8" i="63"/>
  <c r="AL24" i="66"/>
  <c r="AJ40" i="61"/>
  <c r="AJ55" i="65"/>
  <c r="AJ51" i="58"/>
  <c r="G37" i="58"/>
  <c r="G43" i="58"/>
  <c r="G34" i="65"/>
  <c r="AJ65" i="58"/>
  <c r="AJ45" i="61"/>
  <c r="G51" i="58"/>
  <c r="AL27" i="66"/>
  <c r="AJ7" i="64"/>
  <c r="G35" i="57"/>
  <c r="AJ42" i="58"/>
  <c r="AL21" i="66"/>
  <c r="E53" i="66"/>
  <c r="G36" i="58"/>
  <c r="AJ64" i="61"/>
  <c r="AJ26" i="64"/>
  <c r="AJ57" i="61"/>
  <c r="AJ25" i="65"/>
  <c r="AJ28" i="61"/>
  <c r="G54" i="63"/>
  <c r="AJ16" i="58"/>
  <c r="AJ62" i="61"/>
  <c r="AJ35" i="58"/>
  <c r="AJ25" i="58"/>
  <c r="AJ34" i="65"/>
  <c r="AJ61" i="63"/>
  <c r="G14" i="65"/>
  <c r="G43" i="60"/>
  <c r="G20" i="63"/>
  <c r="AJ10" i="57"/>
  <c r="G37" i="57"/>
  <c r="AJ15" i="63"/>
  <c r="AJ49" i="63"/>
  <c r="AJ42" i="57"/>
  <c r="AJ36" i="64"/>
  <c r="G41" i="60"/>
  <c r="AJ30" i="60"/>
  <c r="AL22" i="65"/>
  <c r="AJ24" i="60"/>
  <c r="AJ51" i="65"/>
  <c r="G34" i="63"/>
  <c r="G9" i="63"/>
  <c r="AJ44" i="58"/>
  <c r="G36" i="60"/>
  <c r="AJ19" i="57"/>
  <c r="AL8" i="66"/>
  <c r="G16" i="58"/>
  <c r="G52" i="63"/>
  <c r="G29" i="63"/>
  <c r="AJ50" i="63"/>
  <c r="AL24" i="65"/>
  <c r="G12" i="57"/>
  <c r="AJ16" i="60"/>
  <c r="AK28" i="66"/>
  <c r="AJ15" i="60"/>
  <c r="AJ13" i="65"/>
  <c r="AJ38" i="65"/>
  <c r="AJ37" i="60"/>
  <c r="G62" i="60"/>
  <c r="G50" i="64"/>
  <c r="AJ18" i="65"/>
  <c r="AJ23" i="58"/>
  <c r="G40" i="61"/>
  <c r="G17" i="63"/>
  <c r="AL19" i="66"/>
  <c r="G55" i="65"/>
  <c r="AJ12" i="65"/>
  <c r="AJ14" i="57"/>
  <c r="G15" i="64"/>
  <c r="G48" i="63"/>
  <c r="AJ47" i="60"/>
  <c r="G22" i="65"/>
  <c r="AJ7" i="65"/>
  <c r="AJ57" i="60"/>
  <c r="AJ23" i="65"/>
  <c r="G18" i="57"/>
  <c r="G38" i="65"/>
  <c r="G7" i="61"/>
  <c r="AJ34" i="64"/>
  <c r="G33" i="61"/>
  <c r="G56" i="58"/>
  <c r="AL37" i="66"/>
  <c r="G54" i="65"/>
  <c r="AJ58" i="57"/>
  <c r="G55" i="58"/>
  <c r="AJ9" i="63"/>
  <c r="AJ13" i="61"/>
  <c r="G33" i="65"/>
  <c r="AJ7" i="58"/>
  <c r="AJ62" i="57"/>
  <c r="AL17" i="65"/>
  <c r="G55" i="63"/>
  <c r="AJ42" i="60"/>
  <c r="AK51" i="66"/>
  <c r="AJ12" i="61"/>
  <c r="AJ14" i="64"/>
  <c r="AJ27" i="60"/>
  <c r="AJ39" i="63"/>
  <c r="AJ21" i="61"/>
  <c r="G40" i="60"/>
  <c r="G11" i="58"/>
  <c r="G47" i="60"/>
  <c r="G49" i="64"/>
  <c r="G19" i="64"/>
  <c r="AL36" i="66"/>
  <c r="AJ22" i="64"/>
  <c r="E11" i="66"/>
  <c r="AJ60" i="63"/>
  <c r="AJ16" i="57"/>
  <c r="G13" i="58"/>
  <c r="AJ20" i="57"/>
  <c r="AJ26" i="65"/>
  <c r="AJ15" i="65"/>
  <c r="AK11" i="66"/>
  <c r="AJ7" i="61"/>
  <c r="G8" i="60"/>
  <c r="G32" i="57"/>
  <c r="AJ15" i="61"/>
  <c r="G37" i="64"/>
  <c r="AJ15" i="57"/>
  <c r="AJ16" i="63"/>
  <c r="AJ44" i="60"/>
  <c r="AJ64" i="65"/>
  <c r="AJ31" i="63"/>
  <c r="AJ44" i="57"/>
  <c r="G44" i="57"/>
  <c r="G46" i="65"/>
  <c r="AJ65" i="61"/>
  <c r="AJ8" i="61"/>
  <c r="G23" i="65"/>
  <c r="G49" i="61"/>
  <c r="G61" i="57"/>
  <c r="AJ14" i="58"/>
  <c r="G30" i="63"/>
  <c r="AJ46" i="65"/>
  <c r="G25" i="64"/>
  <c r="G28" i="61"/>
  <c r="AJ44" i="65"/>
  <c r="AJ39" i="60"/>
  <c r="E12" i="66"/>
  <c r="AJ30" i="65"/>
  <c r="E51" i="66"/>
  <c r="E50" i="66"/>
  <c r="AJ65" i="63"/>
  <c r="AJ32" i="64"/>
  <c r="AJ64" i="64"/>
  <c r="AJ58" i="61"/>
  <c r="AJ19" i="61"/>
  <c r="AJ50" i="61"/>
  <c r="G32" i="61"/>
  <c r="E61" i="66"/>
  <c r="G26" i="61"/>
  <c r="AJ11" i="65"/>
  <c r="G47" i="64"/>
  <c r="AJ41" i="60"/>
  <c r="AJ63" i="64"/>
  <c r="AJ30" i="57"/>
  <c r="G36" i="63"/>
  <c r="AJ26" i="60"/>
  <c r="G7" i="57"/>
  <c r="G31" i="61"/>
  <c r="G21" i="65"/>
  <c r="G43" i="61"/>
  <c r="AJ51" i="60"/>
  <c r="G38" i="61"/>
  <c r="G11" i="60"/>
  <c r="AJ31" i="57"/>
  <c r="G8" i="65"/>
  <c r="AJ21" i="60"/>
  <c r="G19" i="60"/>
  <c r="G42" i="57"/>
  <c r="AK23" i="66"/>
  <c r="AK46" i="66"/>
  <c r="G57" i="58"/>
  <c r="AJ56" i="64"/>
  <c r="G17" i="65"/>
  <c r="G24" i="63"/>
  <c r="G44" i="58"/>
  <c r="G26" i="57"/>
  <c r="G10" i="64"/>
  <c r="G11" i="57"/>
  <c r="G27" i="60"/>
  <c r="G15" i="65"/>
  <c r="AJ25" i="61"/>
  <c r="AJ53" i="65"/>
  <c r="AJ39" i="65"/>
  <c r="AJ55" i="58"/>
  <c r="AJ12" i="58"/>
  <c r="AJ33" i="63"/>
  <c r="G11" i="63"/>
  <c r="AJ46" i="57"/>
  <c r="G27" i="57"/>
  <c r="G28" i="65"/>
  <c r="AJ50" i="57"/>
  <c r="G7" i="64"/>
  <c r="E49" i="66"/>
  <c r="AL29" i="66"/>
  <c r="G32" i="64"/>
  <c r="G28" i="60"/>
  <c r="G22" i="64"/>
  <c r="AJ29" i="60"/>
  <c r="G23" i="60"/>
  <c r="G18" i="60"/>
  <c r="G42" i="65"/>
  <c r="AJ58" i="65"/>
  <c r="G40" i="63"/>
  <c r="AK9" i="66"/>
  <c r="G30" i="60"/>
  <c r="AJ41" i="58"/>
  <c r="AK45" i="58"/>
  <c r="G18" i="61"/>
  <c r="E29" i="66"/>
  <c r="AJ20" i="61"/>
  <c r="G21" i="64"/>
  <c r="G49" i="57"/>
  <c r="AJ38" i="64"/>
  <c r="AL51" i="66"/>
  <c r="G14" i="64"/>
  <c r="AJ56" i="63"/>
  <c r="G34" i="58"/>
  <c r="AJ45" i="63"/>
  <c r="G52" i="64"/>
  <c r="AL41" i="65"/>
  <c r="G29" i="64"/>
  <c r="AJ61" i="58"/>
  <c r="AJ55" i="60"/>
  <c r="G42" i="60"/>
  <c r="G28" i="58"/>
  <c r="AJ31" i="60"/>
  <c r="AJ67" i="60"/>
  <c r="G35" i="64"/>
  <c r="AJ55" i="63"/>
  <c r="G32" i="58"/>
  <c r="G27" i="61"/>
  <c r="G25" i="58"/>
  <c r="G8" i="57"/>
  <c r="AJ26" i="61"/>
  <c r="G16" i="60"/>
  <c r="G36" i="65"/>
  <c r="AJ52" i="65"/>
  <c r="G41" i="63"/>
  <c r="AJ21" i="65"/>
  <c r="AJ25" i="64"/>
  <c r="AJ54" i="63"/>
  <c r="G15" i="58"/>
  <c r="AJ45" i="60"/>
  <c r="G41" i="65"/>
  <c r="G9" i="64"/>
  <c r="AJ37" i="63"/>
  <c r="AJ17" i="64"/>
  <c r="G40" i="58"/>
  <c r="AJ44" i="63"/>
  <c r="AJ55" i="57"/>
  <c r="AJ62" i="58"/>
  <c r="AJ62" i="63"/>
  <c r="AJ60" i="65"/>
  <c r="AJ49" i="65"/>
  <c r="AL42" i="66"/>
  <c r="G47" i="58"/>
  <c r="G32" i="65"/>
  <c r="G55" i="60"/>
  <c r="AJ49" i="61"/>
  <c r="G48" i="60"/>
  <c r="G8" i="61"/>
  <c r="AJ64" i="57"/>
  <c r="AJ35" i="57"/>
  <c r="AL48" i="66"/>
  <c r="G35" i="60"/>
  <c r="E21" i="66"/>
  <c r="AJ13" i="60"/>
  <c r="AJ49" i="60"/>
  <c r="G47" i="57"/>
  <c r="G16" i="57"/>
  <c r="G48" i="58"/>
  <c r="AJ19" i="58"/>
  <c r="AJ35" i="64"/>
  <c r="AJ66" i="63"/>
  <c r="AK50" i="66"/>
  <c r="AO7" i="7"/>
  <c r="AX11" i="7"/>
  <c r="AX7" i="7"/>
  <c r="AG43" i="66" l="1"/>
  <c r="AH43" i="66"/>
  <c r="AM50" i="66"/>
  <c r="AL66" i="63"/>
  <c r="AK66" i="63"/>
  <c r="AM66" i="63" s="1"/>
  <c r="AH15" i="66"/>
  <c r="AG15" i="66"/>
  <c r="AH22" i="65"/>
  <c r="AG22" i="65"/>
  <c r="AH49" i="66"/>
  <c r="AG49" i="66"/>
  <c r="AH48" i="66"/>
  <c r="AG48" i="66"/>
  <c r="AM22" i="65"/>
  <c r="AK64" i="57"/>
  <c r="AM64" i="57" s="1"/>
  <c r="AL64" i="57"/>
  <c r="AK59" i="64"/>
  <c r="AM59" i="64" s="1"/>
  <c r="AL59" i="64"/>
  <c r="AM45" i="66"/>
  <c r="AK59" i="61"/>
  <c r="AM59" i="61" s="1"/>
  <c r="AL59" i="61"/>
  <c r="AH42" i="66"/>
  <c r="AG42" i="66"/>
  <c r="AM24" i="65"/>
  <c r="AM26" i="66"/>
  <c r="AL60" i="65"/>
  <c r="AK60" i="65"/>
  <c r="AM60" i="65" s="1"/>
  <c r="AK59" i="58"/>
  <c r="AM59" i="58" s="1"/>
  <c r="AL59" i="58"/>
  <c r="AG30" i="66"/>
  <c r="AH30" i="66"/>
  <c r="AL57" i="61"/>
  <c r="AK57" i="61"/>
  <c r="AM57" i="61" s="1"/>
  <c r="AL67" i="64"/>
  <c r="AK67" i="64"/>
  <c r="AM67" i="64" s="1"/>
  <c r="AM30" i="66"/>
  <c r="AL64" i="61"/>
  <c r="AK64" i="61"/>
  <c r="AM64" i="61" s="1"/>
  <c r="AG21" i="66"/>
  <c r="AH21" i="66"/>
  <c r="AK56" i="61"/>
  <c r="AM56" i="61" s="1"/>
  <c r="AL56" i="61"/>
  <c r="AM7" i="66"/>
  <c r="AH27" i="66"/>
  <c r="AG27" i="66"/>
  <c r="AH7" i="66"/>
  <c r="AG7" i="66"/>
  <c r="AL65" i="58"/>
  <c r="AK65" i="58"/>
  <c r="AM65" i="58" s="1"/>
  <c r="AH10" i="66"/>
  <c r="AG10" i="66"/>
  <c r="R8" i="66"/>
  <c r="U10" i="66"/>
  <c r="V10" i="66" s="1"/>
  <c r="U11" i="66"/>
  <c r="V11" i="66" s="1"/>
  <c r="R9" i="66"/>
  <c r="U16" i="66" a="1"/>
  <c r="U16" i="66" s="1"/>
  <c r="O9" i="66"/>
  <c r="O13" i="66"/>
  <c r="P13" i="66" s="1"/>
  <c r="R12" i="66"/>
  <c r="R10" i="66"/>
  <c r="U8" i="66"/>
  <c r="V8" i="66" s="1"/>
  <c r="R16" i="66" a="1"/>
  <c r="R16" i="66" s="1"/>
  <c r="O11" i="66"/>
  <c r="U12" i="66"/>
  <c r="O12" i="66"/>
  <c r="R11" i="66"/>
  <c r="U13" i="66"/>
  <c r="V13" i="66" s="1"/>
  <c r="U9" i="66"/>
  <c r="O16" i="66" a="1"/>
  <c r="O16" i="66" s="1"/>
  <c r="R13" i="66"/>
  <c r="AA13" i="66" s="1"/>
  <c r="O8" i="66"/>
  <c r="O10" i="66"/>
  <c r="AH24" i="66"/>
  <c r="AG24" i="66"/>
  <c r="AM43" i="66"/>
  <c r="AG20" i="65"/>
  <c r="AH20" i="65"/>
  <c r="AK67" i="60"/>
  <c r="AM67" i="60" s="1"/>
  <c r="AL67" i="60"/>
  <c r="AM29" i="66"/>
  <c r="AM22" i="66"/>
  <c r="AG46" i="66"/>
  <c r="AH46" i="66"/>
  <c r="AH22" i="66"/>
  <c r="AG22" i="66"/>
  <c r="AG17" i="66"/>
  <c r="AH17" i="66"/>
  <c r="AM38" i="66"/>
  <c r="AK66" i="61"/>
  <c r="AM66" i="61" s="1"/>
  <c r="AL66" i="61"/>
  <c r="AM14" i="66"/>
  <c r="AH41" i="65"/>
  <c r="AG41" i="65"/>
  <c r="AG41" i="66"/>
  <c r="AH41" i="66"/>
  <c r="AL56" i="63"/>
  <c r="AK56" i="63"/>
  <c r="AM56" i="63" s="1"/>
  <c r="AG9" i="66"/>
  <c r="AH9" i="66"/>
  <c r="AK58" i="64"/>
  <c r="AM58" i="64" s="1"/>
  <c r="AL58" i="64"/>
  <c r="AH51" i="66"/>
  <c r="AG51" i="66"/>
  <c r="AM49" i="66"/>
  <c r="AK57" i="65"/>
  <c r="AM57" i="65" s="1"/>
  <c r="AL57" i="65"/>
  <c r="AM41" i="65"/>
  <c r="AM45" i="58"/>
  <c r="AM9" i="66"/>
  <c r="AH50" i="66"/>
  <c r="AG50" i="66"/>
  <c r="AK59" i="63"/>
  <c r="AM59" i="63" s="1"/>
  <c r="AL59" i="63"/>
  <c r="AK58" i="65"/>
  <c r="AM58" i="65" s="1"/>
  <c r="AL58" i="65"/>
  <c r="AH45" i="58"/>
  <c r="AG45" i="58"/>
  <c r="AK63" i="63"/>
  <c r="AM63" i="63" s="1"/>
  <c r="AL63" i="63"/>
  <c r="AM17" i="66"/>
  <c r="AM61" i="66"/>
  <c r="AK63" i="61"/>
  <c r="AM63" i="61" s="1"/>
  <c r="AL63" i="61"/>
  <c r="AL60" i="57"/>
  <c r="AK60" i="57"/>
  <c r="AM60" i="57" s="1"/>
  <c r="AH29" i="66"/>
  <c r="AG29" i="66"/>
  <c r="AM36" i="66"/>
  <c r="AL59" i="65"/>
  <c r="AK59" i="65"/>
  <c r="AM59" i="65" s="1"/>
  <c r="AM27" i="66"/>
  <c r="AL67" i="65"/>
  <c r="AK67" i="65"/>
  <c r="AM67" i="65" s="1"/>
  <c r="AK65" i="64"/>
  <c r="AM65" i="64" s="1"/>
  <c r="AL65" i="64"/>
  <c r="AM10" i="66"/>
  <c r="AM31" i="66"/>
  <c r="AL60" i="58"/>
  <c r="AK60" i="58"/>
  <c r="AM60" i="58" s="1"/>
  <c r="AK56" i="64"/>
  <c r="AM56" i="64" s="1"/>
  <c r="AL56" i="64"/>
  <c r="AG18" i="66"/>
  <c r="AH18" i="66"/>
  <c r="AM46" i="66"/>
  <c r="AM23" i="66"/>
  <c r="AG39" i="66"/>
  <c r="AH39" i="66"/>
  <c r="AG28" i="66"/>
  <c r="AH28" i="66"/>
  <c r="AH23" i="66"/>
  <c r="AG23" i="66"/>
  <c r="AM42" i="66"/>
  <c r="AM12" i="66"/>
  <c r="AK59" i="60"/>
  <c r="AM59" i="60" s="1"/>
  <c r="AL59" i="60"/>
  <c r="AL63" i="58"/>
  <c r="AK63" i="58"/>
  <c r="AM63" i="58" s="1"/>
  <c r="AM17" i="65"/>
  <c r="AK67" i="61"/>
  <c r="AM67" i="61" s="1"/>
  <c r="AL67" i="61"/>
  <c r="AL66" i="58"/>
  <c r="AK66" i="58"/>
  <c r="AM66" i="58" s="1"/>
  <c r="AH11" i="66"/>
  <c r="AG11" i="66"/>
  <c r="AL63" i="57"/>
  <c r="AK63" i="57"/>
  <c r="AM63" i="57" s="1"/>
  <c r="AM16" i="66"/>
  <c r="AL63" i="60"/>
  <c r="AK63" i="60"/>
  <c r="AM63" i="60" s="1"/>
  <c r="AL63" i="64"/>
  <c r="AK63" i="64"/>
  <c r="AM63" i="64" s="1"/>
  <c r="AG38" i="66"/>
  <c r="AH38" i="66"/>
  <c r="AK64" i="60"/>
  <c r="AM64" i="60" s="1"/>
  <c r="AL64" i="60"/>
  <c r="AL66" i="57"/>
  <c r="AK66" i="57"/>
  <c r="AM66" i="57" s="1"/>
  <c r="AK60" i="64"/>
  <c r="AM60" i="64" s="1"/>
  <c r="AL60" i="64"/>
  <c r="AG25" i="66"/>
  <c r="AH25" i="66"/>
  <c r="AL56" i="65"/>
  <c r="AK56" i="65"/>
  <c r="AM56" i="65" s="1"/>
  <c r="AL58" i="61"/>
  <c r="AK58" i="61"/>
  <c r="AM58" i="61" s="1"/>
  <c r="AG32" i="66"/>
  <c r="AH32" i="66"/>
  <c r="AL64" i="64"/>
  <c r="AK64" i="64"/>
  <c r="AM64" i="64" s="1"/>
  <c r="AK67" i="58"/>
  <c r="AM67" i="58" s="1"/>
  <c r="AL67" i="58"/>
  <c r="AH12" i="66"/>
  <c r="AG12" i="66"/>
  <c r="AL65" i="63"/>
  <c r="AK65" i="63"/>
  <c r="AM65" i="63" s="1"/>
  <c r="AM24" i="66"/>
  <c r="AM39" i="66"/>
  <c r="AG14" i="66"/>
  <c r="AH14" i="66"/>
  <c r="AM53" i="66"/>
  <c r="AM8" i="66"/>
  <c r="AM20" i="66"/>
  <c r="AM18" i="66"/>
  <c r="AG13" i="66"/>
  <c r="AH13" i="66"/>
  <c r="AM32" i="66"/>
  <c r="AL65" i="61"/>
  <c r="AK65" i="61"/>
  <c r="AM65" i="61" s="1"/>
  <c r="AM20" i="65"/>
  <c r="AK66" i="60"/>
  <c r="AM66" i="60" s="1"/>
  <c r="AL66" i="60"/>
  <c r="AG35" i="66"/>
  <c r="AH35" i="66"/>
  <c r="AG45" i="66"/>
  <c r="AH45" i="66"/>
  <c r="AK67" i="63"/>
  <c r="AM67" i="63" s="1"/>
  <c r="AL67" i="63"/>
  <c r="AL58" i="58"/>
  <c r="AK58" i="58"/>
  <c r="AM58" i="58" s="1"/>
  <c r="AM41" i="66"/>
  <c r="AK64" i="65"/>
  <c r="AM64" i="65" s="1"/>
  <c r="AL64" i="65"/>
  <c r="AL64" i="63"/>
  <c r="AK64" i="63"/>
  <c r="AM64" i="63" s="1"/>
  <c r="AL57" i="64"/>
  <c r="AK57" i="64"/>
  <c r="AM57" i="64" s="1"/>
  <c r="AM15" i="66"/>
  <c r="AL58" i="63"/>
  <c r="AK58" i="63"/>
  <c r="AM58" i="63" s="1"/>
  <c r="AM11" i="66"/>
  <c r="AM44" i="66"/>
  <c r="AL60" i="60"/>
  <c r="AK60" i="60"/>
  <c r="AM60" i="60" s="1"/>
  <c r="AL60" i="63"/>
  <c r="AK60" i="63"/>
  <c r="AM60" i="63" s="1"/>
  <c r="AK65" i="60"/>
  <c r="AM65" i="60" s="1"/>
  <c r="AL65" i="60"/>
  <c r="AH36" i="66"/>
  <c r="AG36" i="66"/>
  <c r="AM37" i="66"/>
  <c r="AG44" i="66"/>
  <c r="AH44" i="66"/>
  <c r="AH20" i="66"/>
  <c r="AG20" i="66"/>
  <c r="AL66" i="64"/>
  <c r="AK66" i="64"/>
  <c r="AM66" i="64" s="1"/>
  <c r="AL65" i="57"/>
  <c r="AK65" i="57"/>
  <c r="AM65" i="57" s="1"/>
  <c r="AM13" i="66"/>
  <c r="AM51" i="66"/>
  <c r="AL65" i="65"/>
  <c r="AK65" i="65"/>
  <c r="AM65" i="65" s="1"/>
  <c r="AG17" i="65"/>
  <c r="AH17" i="65"/>
  <c r="AM47" i="66"/>
  <c r="AM35" i="66"/>
  <c r="AG47" i="66"/>
  <c r="AH47" i="66"/>
  <c r="AK58" i="57"/>
  <c r="AM58" i="57" s="1"/>
  <c r="AL58" i="57"/>
  <c r="AG37" i="66"/>
  <c r="AH37" i="66"/>
  <c r="AG34" i="66"/>
  <c r="AH34" i="66"/>
  <c r="AG52" i="66"/>
  <c r="AH52" i="66"/>
  <c r="AL58" i="60"/>
  <c r="AK58" i="60"/>
  <c r="AM58" i="60" s="1"/>
  <c r="AM25" i="66"/>
  <c r="AH16" i="66"/>
  <c r="AG16" i="66"/>
  <c r="AL57" i="60"/>
  <c r="AK57" i="60"/>
  <c r="AM57" i="60" s="1"/>
  <c r="AM21" i="66"/>
  <c r="AH26" i="66"/>
  <c r="AG26" i="66"/>
  <c r="AG31" i="66"/>
  <c r="AH31" i="66"/>
  <c r="AK67" i="57"/>
  <c r="AM67" i="57" s="1"/>
  <c r="AL67" i="57"/>
  <c r="AG19" i="66"/>
  <c r="AH19" i="66"/>
  <c r="AM48" i="66"/>
  <c r="AK64" i="58"/>
  <c r="AM64" i="58" s="1"/>
  <c r="AL64" i="58"/>
  <c r="AM34" i="66"/>
  <c r="AG61" i="66"/>
  <c r="AH61" i="66"/>
  <c r="AM52" i="66"/>
  <c r="AM19" i="66"/>
  <c r="AM28" i="66"/>
  <c r="AL60" i="61"/>
  <c r="AK60" i="61"/>
  <c r="AM60" i="61" s="1"/>
  <c r="AH24" i="65"/>
  <c r="AG24" i="65"/>
  <c r="AL57" i="63"/>
  <c r="AK57" i="63"/>
  <c r="AM57" i="63" s="1"/>
  <c r="AK59" i="57"/>
  <c r="AM59" i="57" s="1"/>
  <c r="AL59" i="57"/>
  <c r="AK66" i="65"/>
  <c r="AM66" i="65" s="1"/>
  <c r="AL66" i="65"/>
  <c r="AH53" i="66"/>
  <c r="AG53" i="66"/>
  <c r="AK63" i="65"/>
  <c r="AM63" i="65" s="1"/>
  <c r="AL63" i="65"/>
  <c r="AH8" i="66"/>
  <c r="AG8" i="66"/>
  <c r="AA11" i="66"/>
  <c r="BF53" i="85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E8" i="58"/>
  <c r="AK36" i="64"/>
  <c r="E48" i="60"/>
  <c r="AK62" i="63"/>
  <c r="AL17" i="64"/>
  <c r="E35" i="57"/>
  <c r="AL47" i="61"/>
  <c r="AL8" i="63"/>
  <c r="AL23" i="64"/>
  <c r="E10" i="61"/>
  <c r="AK12" i="60"/>
  <c r="E37" i="60"/>
  <c r="E51" i="60"/>
  <c r="AK13" i="60"/>
  <c r="E20" i="63"/>
  <c r="AK24" i="61"/>
  <c r="AK11" i="57"/>
  <c r="AK21" i="57"/>
  <c r="AL56" i="60"/>
  <c r="AK38" i="57"/>
  <c r="AK23" i="64"/>
  <c r="E7" i="58"/>
  <c r="AK29" i="60"/>
  <c r="E7" i="64"/>
  <c r="E11" i="63"/>
  <c r="AK53" i="65"/>
  <c r="AK22" i="58"/>
  <c r="AL56" i="58"/>
  <c r="AL44" i="58"/>
  <c r="E41" i="60"/>
  <c r="AK49" i="64"/>
  <c r="AK62" i="61"/>
  <c r="E40" i="58"/>
  <c r="AK42" i="58"/>
  <c r="E17" i="64"/>
  <c r="E27" i="61"/>
  <c r="AL46" i="61"/>
  <c r="AL61" i="65"/>
  <c r="E39" i="61"/>
  <c r="AL29" i="60"/>
  <c r="AK22" i="63"/>
  <c r="AK12" i="58"/>
  <c r="AL8" i="64"/>
  <c r="AK44" i="64"/>
  <c r="E11" i="60"/>
  <c r="AK42" i="64"/>
  <c r="AK19" i="58"/>
  <c r="E51" i="63"/>
  <c r="AL49" i="64"/>
  <c r="AK49" i="65"/>
  <c r="AL44" i="63"/>
  <c r="AK55" i="61"/>
  <c r="E16" i="60"/>
  <c r="E32" i="58"/>
  <c r="AK46" i="61"/>
  <c r="E36" i="61"/>
  <c r="E46" i="58"/>
  <c r="E42" i="65"/>
  <c r="E34" i="60"/>
  <c r="AL46" i="57"/>
  <c r="AL39" i="65"/>
  <c r="E16" i="61"/>
  <c r="AL44" i="64"/>
  <c r="AK31" i="57"/>
  <c r="AL17" i="58"/>
  <c r="AL23" i="63"/>
  <c r="AL52" i="63"/>
  <c r="AK18" i="63"/>
  <c r="AL46" i="60"/>
  <c r="AL46" i="65"/>
  <c r="AK8" i="61"/>
  <c r="E18" i="64"/>
  <c r="E53" i="63"/>
  <c r="E54" i="57"/>
  <c r="AL17" i="61"/>
  <c r="AL14" i="64"/>
  <c r="AK14" i="65"/>
  <c r="E41" i="64"/>
  <c r="E7" i="61"/>
  <c r="AL51" i="57"/>
  <c r="AL54" i="64"/>
  <c r="E33" i="57"/>
  <c r="AL62" i="60"/>
  <c r="AL19" i="58"/>
  <c r="E35" i="60"/>
  <c r="AL30" i="61"/>
  <c r="E15" i="57"/>
  <c r="AK48" i="60"/>
  <c r="AK33" i="65"/>
  <c r="AL55" i="65"/>
  <c r="AL15" i="64"/>
  <c r="AK29" i="63"/>
  <c r="AL38" i="64"/>
  <c r="AL22" i="61"/>
  <c r="AL32" i="63"/>
  <c r="AL11" i="58"/>
  <c r="AL26" i="57"/>
  <c r="AL35" i="61"/>
  <c r="E44" i="60"/>
  <c r="AL38" i="63"/>
  <c r="E17" i="57"/>
  <c r="AK23" i="63"/>
  <c r="AL43" i="58"/>
  <c r="E24" i="65"/>
  <c r="E25" i="64"/>
  <c r="E62" i="58"/>
  <c r="AK61" i="60"/>
  <c r="E62" i="64"/>
  <c r="AL16" i="57"/>
  <c r="AK28" i="57"/>
  <c r="AK16" i="65"/>
  <c r="E19" i="65"/>
  <c r="E54" i="65"/>
  <c r="AK23" i="65"/>
  <c r="AK57" i="57"/>
  <c r="AL36" i="65"/>
  <c r="E50" i="61"/>
  <c r="E36" i="57"/>
  <c r="E13" i="65"/>
  <c r="AL25" i="64"/>
  <c r="E37" i="63"/>
  <c r="AL12" i="63"/>
  <c r="E45" i="60"/>
  <c r="AK38" i="64"/>
  <c r="AK22" i="61"/>
  <c r="E28" i="60"/>
  <c r="AL23" i="60"/>
  <c r="AL19" i="57"/>
  <c r="AL7" i="57"/>
  <c r="AL49" i="61"/>
  <c r="E30" i="65"/>
  <c r="E29" i="60"/>
  <c r="AL37" i="65"/>
  <c r="AL61" i="64"/>
  <c r="AK12" i="63"/>
  <c r="AK29" i="57"/>
  <c r="AK25" i="57"/>
  <c r="E21" i="57"/>
  <c r="AL36" i="60"/>
  <c r="AL48" i="61"/>
  <c r="E12" i="60"/>
  <c r="E10" i="64"/>
  <c r="AL47" i="64"/>
  <c r="E36" i="63"/>
  <c r="E7" i="60"/>
  <c r="AL29" i="61"/>
  <c r="AK36" i="63"/>
  <c r="E44" i="57"/>
  <c r="AK19" i="63"/>
  <c r="AL11" i="60"/>
  <c r="E17" i="61"/>
  <c r="AK41" i="57"/>
  <c r="AK7" i="58"/>
  <c r="AL28" i="60"/>
  <c r="AK26" i="63"/>
  <c r="AK33" i="61"/>
  <c r="E9" i="63"/>
  <c r="AK7" i="57"/>
  <c r="AK49" i="61"/>
  <c r="AL62" i="63"/>
  <c r="AK17" i="64"/>
  <c r="AK37" i="65"/>
  <c r="E37" i="58"/>
  <c r="E62" i="57"/>
  <c r="AL45" i="63"/>
  <c r="AL25" i="57"/>
  <c r="AL48" i="64"/>
  <c r="E47" i="65"/>
  <c r="E28" i="65"/>
  <c r="AK55" i="58"/>
  <c r="AL50" i="65"/>
  <c r="E45" i="61"/>
  <c r="E9" i="58"/>
  <c r="E33" i="60"/>
  <c r="AL26" i="60"/>
  <c r="AK44" i="61"/>
  <c r="AL9" i="57"/>
  <c r="AL44" i="60"/>
  <c r="E40" i="57"/>
  <c r="E49" i="64"/>
  <c r="E52" i="57"/>
  <c r="AK9" i="61"/>
  <c r="AL26" i="63"/>
  <c r="E22" i="57"/>
  <c r="AK18" i="65"/>
  <c r="AL48" i="65"/>
  <c r="AK35" i="60"/>
  <c r="AK7" i="60"/>
  <c r="AK31" i="65"/>
  <c r="AL34" i="58"/>
  <c r="AK38" i="60"/>
  <c r="AK52" i="60"/>
  <c r="E15" i="65"/>
  <c r="E31" i="61"/>
  <c r="AL8" i="57"/>
  <c r="AL29" i="64"/>
  <c r="AK55" i="64"/>
  <c r="AL15" i="61"/>
  <c r="E34" i="61"/>
  <c r="AL12" i="61"/>
  <c r="E55" i="58"/>
  <c r="E12" i="61"/>
  <c r="E16" i="63"/>
  <c r="E62" i="60"/>
  <c r="E52" i="63"/>
  <c r="AK24" i="64"/>
  <c r="E32" i="63"/>
  <c r="AL39" i="60"/>
  <c r="E49" i="61"/>
  <c r="AL27" i="65"/>
  <c r="AK18" i="64"/>
  <c r="AK17" i="61"/>
  <c r="E27" i="58"/>
  <c r="E43" i="63"/>
  <c r="E19" i="63"/>
  <c r="E43" i="64"/>
  <c r="E44" i="58"/>
  <c r="E18" i="58"/>
  <c r="AL28" i="64"/>
  <c r="AL36" i="63"/>
  <c r="E56" i="57"/>
  <c r="AK54" i="65"/>
  <c r="AK35" i="65"/>
  <c r="AL9" i="63"/>
  <c r="E18" i="57"/>
  <c r="AK40" i="63"/>
  <c r="AL38" i="65"/>
  <c r="AL48" i="58"/>
  <c r="AK56" i="58"/>
  <c r="E53" i="57"/>
  <c r="AK45" i="65"/>
  <c r="AK24" i="60"/>
  <c r="E48" i="61"/>
  <c r="E43" i="60"/>
  <c r="E54" i="63"/>
  <c r="E14" i="58"/>
  <c r="E45" i="64"/>
  <c r="AK56" i="60"/>
  <c r="E42" i="60"/>
  <c r="AK54" i="58"/>
  <c r="E9" i="60"/>
  <c r="E18" i="60"/>
  <c r="E32" i="60"/>
  <c r="E48" i="58"/>
  <c r="AK40" i="57"/>
  <c r="E32" i="65"/>
  <c r="AK57" i="58"/>
  <c r="AK45" i="60"/>
  <c r="AK45" i="61"/>
  <c r="E27" i="63"/>
  <c r="E24" i="58"/>
  <c r="AL54" i="58"/>
  <c r="E50" i="60"/>
  <c r="AL27" i="64"/>
  <c r="AL42" i="65"/>
  <c r="AK36" i="58"/>
  <c r="AK25" i="61"/>
  <c r="AK39" i="64"/>
  <c r="AK16" i="61"/>
  <c r="AL51" i="65"/>
  <c r="AL40" i="57"/>
  <c r="E51" i="65"/>
  <c r="AL16" i="58"/>
  <c r="AK26" i="64"/>
  <c r="AL55" i="61"/>
  <c r="E48" i="65"/>
  <c r="AL38" i="57"/>
  <c r="E34" i="64"/>
  <c r="E49" i="57"/>
  <c r="E8" i="64"/>
  <c r="AK53" i="57"/>
  <c r="AK46" i="57"/>
  <c r="AL25" i="60"/>
  <c r="E11" i="57"/>
  <c r="E26" i="58"/>
  <c r="E43" i="61"/>
  <c r="E21" i="61"/>
  <c r="AK51" i="65"/>
  <c r="AL49" i="63"/>
  <c r="E55" i="60"/>
  <c r="AL62" i="61"/>
  <c r="AL32" i="58"/>
  <c r="AK21" i="65"/>
  <c r="E43" i="58"/>
  <c r="AK31" i="60"/>
  <c r="AL29" i="63"/>
  <c r="AK61" i="65"/>
  <c r="AK39" i="58"/>
  <c r="E22" i="61"/>
  <c r="AK11" i="58"/>
  <c r="AK26" i="57"/>
  <c r="AK35" i="61"/>
  <c r="E26" i="57"/>
  <c r="E25" i="60"/>
  <c r="E38" i="63"/>
  <c r="AK49" i="60"/>
  <c r="AK35" i="57"/>
  <c r="AL11" i="61"/>
  <c r="E44" i="63"/>
  <c r="AL45" i="60"/>
  <c r="AL21" i="57"/>
  <c r="AL53" i="58"/>
  <c r="AL50" i="64"/>
  <c r="AK52" i="64"/>
  <c r="AL41" i="58"/>
  <c r="E11" i="61"/>
  <c r="AK50" i="57"/>
  <c r="AL24" i="60"/>
  <c r="AL35" i="57"/>
  <c r="E39" i="60"/>
  <c r="AK11" i="63"/>
  <c r="AL42" i="58"/>
  <c r="AK47" i="61"/>
  <c r="AK55" i="63"/>
  <c r="AK50" i="64"/>
  <c r="E34" i="57"/>
  <c r="AK30" i="63"/>
  <c r="E32" i="64"/>
  <c r="AK17" i="57"/>
  <c r="AL12" i="58"/>
  <c r="AK8" i="64"/>
  <c r="E51" i="64"/>
  <c r="E23" i="58"/>
  <c r="E25" i="65"/>
  <c r="AK15" i="63"/>
  <c r="AL61" i="63"/>
  <c r="AL24" i="61"/>
  <c r="AK32" i="58"/>
  <c r="AL21" i="65"/>
  <c r="AL26" i="61"/>
  <c r="E28" i="58"/>
  <c r="AK17" i="63"/>
  <c r="E21" i="60"/>
  <c r="AL30" i="63"/>
  <c r="E42" i="58"/>
  <c r="E26" i="60"/>
  <c r="AL53" i="65"/>
  <c r="AL39" i="64"/>
  <c r="E38" i="57"/>
  <c r="E17" i="60"/>
  <c r="E36" i="60"/>
  <c r="E25" i="61"/>
  <c r="AL15" i="63"/>
  <c r="AK61" i="63"/>
  <c r="E49" i="65"/>
  <c r="E41" i="65"/>
  <c r="E51" i="58"/>
  <c r="AK30" i="58"/>
  <c r="AK15" i="64"/>
  <c r="E8" i="63"/>
  <c r="AK14" i="61"/>
  <c r="AL43" i="63"/>
  <c r="E37" i="61"/>
  <c r="AK51" i="63"/>
  <c r="AL33" i="63"/>
  <c r="AK37" i="64"/>
  <c r="E19" i="57"/>
  <c r="E14" i="61"/>
  <c r="E9" i="61"/>
  <c r="AL42" i="64"/>
  <c r="AK19" i="64"/>
  <c r="AK19" i="61"/>
  <c r="AK21" i="63"/>
  <c r="E53" i="65"/>
  <c r="AL41" i="63"/>
  <c r="AL31" i="63"/>
  <c r="E9" i="65"/>
  <c r="AK26" i="65"/>
  <c r="E15" i="61"/>
  <c r="AL39" i="63"/>
  <c r="AL24" i="58"/>
  <c r="AK12" i="64"/>
  <c r="AK43" i="60"/>
  <c r="AL23" i="65"/>
  <c r="AL52" i="58"/>
  <c r="E40" i="61"/>
  <c r="AL13" i="65"/>
  <c r="AL20" i="64"/>
  <c r="E47" i="57"/>
  <c r="E50" i="63"/>
  <c r="E22" i="60"/>
  <c r="AK44" i="63"/>
  <c r="AK25" i="64"/>
  <c r="E53" i="60"/>
  <c r="E21" i="63"/>
  <c r="AL18" i="58"/>
  <c r="E34" i="58"/>
  <c r="AK20" i="61"/>
  <c r="E56" i="60"/>
  <c r="E29" i="61"/>
  <c r="E27" i="57"/>
  <c r="AL9" i="65"/>
  <c r="E46" i="64"/>
  <c r="E13" i="64"/>
  <c r="AL37" i="58"/>
  <c r="E22" i="58"/>
  <c r="AL19" i="64"/>
  <c r="AL19" i="61"/>
  <c r="E39" i="65"/>
  <c r="AL8" i="65"/>
  <c r="AK44" i="57"/>
  <c r="AK15" i="57"/>
  <c r="AL18" i="64"/>
  <c r="AL36" i="57"/>
  <c r="AK39" i="63"/>
  <c r="AK24" i="58"/>
  <c r="AL12" i="64"/>
  <c r="E46" i="57"/>
  <c r="AK40" i="60"/>
  <c r="AK35" i="64"/>
  <c r="AL34" i="57"/>
  <c r="AK30" i="61"/>
  <c r="AL55" i="57"/>
  <c r="AL48" i="60"/>
  <c r="E36" i="65"/>
  <c r="E20" i="57"/>
  <c r="AK32" i="60"/>
  <c r="AK47" i="58"/>
  <c r="AL37" i="61"/>
  <c r="AK28" i="63"/>
  <c r="AL39" i="57"/>
  <c r="E54" i="64"/>
  <c r="AL53" i="60"/>
  <c r="AK42" i="57"/>
  <c r="E47" i="58"/>
  <c r="AL28" i="61"/>
  <c r="E9" i="64"/>
  <c r="AK7" i="64"/>
  <c r="AL51" i="58"/>
  <c r="AL55" i="60"/>
  <c r="AK16" i="64"/>
  <c r="AK37" i="61"/>
  <c r="AL28" i="63"/>
  <c r="E52" i="60"/>
  <c r="AK34" i="61"/>
  <c r="E62" i="63"/>
  <c r="E50" i="65"/>
  <c r="AK27" i="61"/>
  <c r="AL11" i="65"/>
  <c r="AL38" i="61"/>
  <c r="AL31" i="64"/>
  <c r="E23" i="65"/>
  <c r="AK45" i="64"/>
  <c r="E32" i="57"/>
  <c r="AL53" i="61"/>
  <c r="AL15" i="58"/>
  <c r="E12" i="63"/>
  <c r="AL22" i="57"/>
  <c r="AK27" i="58"/>
  <c r="AL30" i="64"/>
  <c r="E52" i="61"/>
  <c r="E16" i="57"/>
  <c r="E30" i="64"/>
  <c r="AK34" i="65"/>
  <c r="AK28" i="61"/>
  <c r="E36" i="58"/>
  <c r="AL7" i="64"/>
  <c r="E38" i="58"/>
  <c r="AK55" i="60"/>
  <c r="AK33" i="58"/>
  <c r="AL34" i="63"/>
  <c r="AL12" i="60"/>
  <c r="E31" i="64"/>
  <c r="AL24" i="63"/>
  <c r="AK14" i="60"/>
  <c r="AL20" i="60"/>
  <c r="E21" i="65"/>
  <c r="E14" i="57"/>
  <c r="AK38" i="58"/>
  <c r="AL31" i="65"/>
  <c r="AL44" i="65"/>
  <c r="E55" i="57"/>
  <c r="AK47" i="57"/>
  <c r="AL49" i="57"/>
  <c r="AK27" i="60"/>
  <c r="AL7" i="58"/>
  <c r="AL13" i="58"/>
  <c r="E42" i="61"/>
  <c r="AL52" i="57"/>
  <c r="AK19" i="60"/>
  <c r="AL50" i="63"/>
  <c r="E39" i="57"/>
  <c r="E49" i="60"/>
  <c r="AK31" i="61"/>
  <c r="AK29" i="64"/>
  <c r="AK46" i="63"/>
  <c r="E8" i="60"/>
  <c r="AL16" i="61"/>
  <c r="E45" i="63"/>
  <c r="AK34" i="58"/>
  <c r="AK14" i="58"/>
  <c r="AL52" i="60"/>
  <c r="AL26" i="65"/>
  <c r="AL28" i="57"/>
  <c r="AL27" i="57"/>
  <c r="AK34" i="64"/>
  <c r="AK33" i="57"/>
  <c r="AL33" i="60"/>
  <c r="AK13" i="65"/>
  <c r="AK50" i="58"/>
  <c r="E32" i="61"/>
  <c r="AL21" i="63"/>
  <c r="AK46" i="65"/>
  <c r="AL45" i="64"/>
  <c r="AL7" i="61"/>
  <c r="AK31" i="58"/>
  <c r="AK36" i="61"/>
  <c r="E7" i="65"/>
  <c r="AL10" i="63"/>
  <c r="E23" i="61"/>
  <c r="AK48" i="58"/>
  <c r="AL21" i="60"/>
  <c r="E31" i="65"/>
  <c r="AK43" i="65"/>
  <c r="AK16" i="63"/>
  <c r="AL28" i="58"/>
  <c r="AK15" i="58"/>
  <c r="AL62" i="57"/>
  <c r="AL27" i="58"/>
  <c r="AK10" i="63"/>
  <c r="AK23" i="58"/>
  <c r="E31" i="58"/>
  <c r="AL55" i="58"/>
  <c r="AK37" i="58"/>
  <c r="AK38" i="61"/>
  <c r="E38" i="60"/>
  <c r="AK49" i="58"/>
  <c r="AL33" i="64"/>
  <c r="AL10" i="60"/>
  <c r="AK9" i="63"/>
  <c r="AL10" i="58"/>
  <c r="AL12" i="65"/>
  <c r="AK37" i="60"/>
  <c r="E29" i="63"/>
  <c r="E25" i="57"/>
  <c r="AL18" i="63"/>
  <c r="AK29" i="58"/>
  <c r="E9" i="57"/>
  <c r="AK61" i="57"/>
  <c r="E19" i="64"/>
  <c r="E55" i="63"/>
  <c r="AK18" i="57"/>
  <c r="E20" i="61"/>
  <c r="AL21" i="58"/>
  <c r="E39" i="58"/>
  <c r="AL27" i="61"/>
  <c r="AL44" i="61"/>
  <c r="AK9" i="57"/>
  <c r="E55" i="65"/>
  <c r="AL13" i="60"/>
  <c r="E15" i="58"/>
  <c r="E41" i="58"/>
  <c r="AL49" i="60"/>
  <c r="E41" i="57"/>
  <c r="E15" i="60"/>
  <c r="AK25" i="60"/>
  <c r="AK30" i="60"/>
  <c r="AL11" i="57"/>
  <c r="E14" i="64"/>
  <c r="AL36" i="58"/>
  <c r="AK25" i="63"/>
  <c r="E52" i="65"/>
  <c r="AK55" i="65"/>
  <c r="E47" i="61"/>
  <c r="E27" i="60"/>
  <c r="E7" i="57"/>
  <c r="E20" i="64"/>
  <c r="AK39" i="60"/>
  <c r="E36" i="64"/>
  <c r="AK14" i="63"/>
  <c r="E49" i="63"/>
  <c r="AK13" i="61"/>
  <c r="AL11" i="64"/>
  <c r="E31" i="57"/>
  <c r="E61" i="60"/>
  <c r="AK49" i="63"/>
  <c r="AK55" i="57"/>
  <c r="E34" i="65"/>
  <c r="AL32" i="60"/>
  <c r="AL14" i="61"/>
  <c r="AL7" i="63"/>
  <c r="AK33" i="63"/>
  <c r="AL51" i="61"/>
  <c r="AK17" i="58"/>
  <c r="AL50" i="61"/>
  <c r="E30" i="57"/>
  <c r="AL16" i="63"/>
  <c r="AL54" i="65"/>
  <c r="AL42" i="60"/>
  <c r="AL43" i="60"/>
  <c r="AK20" i="64"/>
  <c r="AL10" i="57"/>
  <c r="AL10" i="61"/>
  <c r="AK51" i="58"/>
  <c r="AL29" i="57"/>
  <c r="E30" i="60"/>
  <c r="AK48" i="57"/>
  <c r="AK34" i="57"/>
  <c r="AL62" i="58"/>
  <c r="AL54" i="63"/>
  <c r="AL32" i="61"/>
  <c r="AK23" i="61"/>
  <c r="E54" i="58"/>
  <c r="AL14" i="60"/>
  <c r="E8" i="65"/>
  <c r="E61" i="64"/>
  <c r="AL14" i="58"/>
  <c r="AL47" i="63"/>
  <c r="E50" i="57"/>
  <c r="AL46" i="58"/>
  <c r="AK10" i="58"/>
  <c r="AK53" i="60"/>
  <c r="AK11" i="61"/>
  <c r="AK37" i="63"/>
  <c r="AK53" i="58"/>
  <c r="E18" i="65"/>
  <c r="E40" i="63"/>
  <c r="AL34" i="61"/>
  <c r="E50" i="58"/>
  <c r="E35" i="58"/>
  <c r="AK41" i="60"/>
  <c r="E44" i="64"/>
  <c r="AK53" i="61"/>
  <c r="AL18" i="61"/>
  <c r="E33" i="63"/>
  <c r="AK50" i="60"/>
  <c r="AL25" i="61"/>
  <c r="AK52" i="63"/>
  <c r="E61" i="61"/>
  <c r="AL37" i="57"/>
  <c r="AL32" i="64"/>
  <c r="AL46" i="63"/>
  <c r="AL35" i="63"/>
  <c r="AK28" i="60"/>
  <c r="E17" i="63"/>
  <c r="E27" i="64"/>
  <c r="E40" i="64"/>
  <c r="E46" i="65"/>
  <c r="E13" i="58"/>
  <c r="AL14" i="65"/>
  <c r="AL23" i="58"/>
  <c r="E57" i="58"/>
  <c r="AK23" i="57"/>
  <c r="AK7" i="61"/>
  <c r="AK21" i="64"/>
  <c r="AL33" i="61"/>
  <c r="E20" i="58"/>
  <c r="E19" i="58"/>
  <c r="AL29" i="58"/>
  <c r="AK20" i="58"/>
  <c r="AL9" i="58"/>
  <c r="AK46" i="58"/>
  <c r="E22" i="65"/>
  <c r="E42" i="63"/>
  <c r="E12" i="57"/>
  <c r="E38" i="64"/>
  <c r="AK46" i="60"/>
  <c r="E12" i="58"/>
  <c r="AK20" i="57"/>
  <c r="AK10" i="60"/>
  <c r="E26" i="65"/>
  <c r="AK53" i="63"/>
  <c r="AK19" i="65"/>
  <c r="E20" i="65"/>
  <c r="AK29" i="61"/>
  <c r="AL48" i="63"/>
  <c r="AK13" i="63"/>
  <c r="AL19" i="60"/>
  <c r="E10" i="60"/>
  <c r="AK35" i="63"/>
  <c r="AL7" i="65"/>
  <c r="AK43" i="64"/>
  <c r="E11" i="58"/>
  <c r="AL18" i="57"/>
  <c r="E28" i="64"/>
  <c r="AL42" i="61"/>
  <c r="E35" i="65"/>
  <c r="AL42" i="63"/>
  <c r="AK11" i="60"/>
  <c r="E31" i="63"/>
  <c r="E49" i="58"/>
  <c r="E10" i="58"/>
  <c r="AK39" i="61"/>
  <c r="AL25" i="63"/>
  <c r="E12" i="64"/>
  <c r="E33" i="65"/>
  <c r="AK12" i="65"/>
  <c r="E7" i="63"/>
  <c r="AL44" i="57"/>
  <c r="AL14" i="63"/>
  <c r="AK13" i="57"/>
  <c r="E23" i="57"/>
  <c r="E31" i="60"/>
  <c r="AL45" i="57"/>
  <c r="E16" i="65"/>
  <c r="AK33" i="64"/>
  <c r="E13" i="57"/>
  <c r="AL43" i="64"/>
  <c r="AL41" i="60"/>
  <c r="AK18" i="61"/>
  <c r="AL15" i="65"/>
  <c r="E46" i="61"/>
  <c r="E30" i="61"/>
  <c r="AK14" i="57"/>
  <c r="AK8" i="60"/>
  <c r="AL40" i="58"/>
  <c r="AK27" i="57"/>
  <c r="AL28" i="65"/>
  <c r="AK16" i="57"/>
  <c r="E40" i="65"/>
  <c r="E35" i="63"/>
  <c r="AL17" i="57"/>
  <c r="E52" i="64"/>
  <c r="AL57" i="58"/>
  <c r="AK42" i="65"/>
  <c r="AL33" i="65"/>
  <c r="AL20" i="61"/>
  <c r="AK53" i="64"/>
  <c r="AK10" i="65"/>
  <c r="AK36" i="57"/>
  <c r="AK41" i="64"/>
  <c r="AK16" i="60"/>
  <c r="AL35" i="58"/>
  <c r="E54" i="61"/>
  <c r="AL48" i="57"/>
  <c r="E26" i="61"/>
  <c r="E15" i="63"/>
  <c r="AK47" i="65"/>
  <c r="AK25" i="65"/>
  <c r="AK18" i="58"/>
  <c r="E24" i="64"/>
  <c r="AK43" i="57"/>
  <c r="E28" i="63"/>
  <c r="E16" i="64"/>
  <c r="E19" i="61"/>
  <c r="AK8" i="58"/>
  <c r="AK61" i="58"/>
  <c r="AL50" i="57"/>
  <c r="AK32" i="57"/>
  <c r="E13" i="61"/>
  <c r="AL41" i="64"/>
  <c r="E21" i="58"/>
  <c r="AL18" i="60"/>
  <c r="AK43" i="58"/>
  <c r="AK22" i="57"/>
  <c r="E48" i="57"/>
  <c r="AK12" i="61"/>
  <c r="AL61" i="61"/>
  <c r="AL29" i="65"/>
  <c r="AL39" i="61"/>
  <c r="E24" i="63"/>
  <c r="AK22" i="64"/>
  <c r="AL53" i="63"/>
  <c r="AK56" i="57"/>
  <c r="E61" i="57"/>
  <c r="AK46" i="64"/>
  <c r="AL15" i="60"/>
  <c r="E23" i="64"/>
  <c r="E15" i="64"/>
  <c r="E38" i="65"/>
  <c r="AL50" i="60"/>
  <c r="AK47" i="60"/>
  <c r="E51" i="57"/>
  <c r="E37" i="57"/>
  <c r="AL45" i="61"/>
  <c r="E39" i="63"/>
  <c r="E62" i="65"/>
  <c r="AK26" i="61"/>
  <c r="E26" i="64"/>
  <c r="AL56" i="57"/>
  <c r="E51" i="61"/>
  <c r="E41" i="63"/>
  <c r="AL39" i="58"/>
  <c r="E20" i="60"/>
  <c r="AK44" i="58"/>
  <c r="E35" i="61"/>
  <c r="AL26" i="58"/>
  <c r="AK7" i="63"/>
  <c r="AK51" i="61"/>
  <c r="AL30" i="57"/>
  <c r="AL40" i="64"/>
  <c r="E29" i="58"/>
  <c r="E46" i="63"/>
  <c r="AL62" i="64"/>
  <c r="AL27" i="60"/>
  <c r="AL47" i="65"/>
  <c r="AL40" i="60"/>
  <c r="AL62" i="65"/>
  <c r="E24" i="57"/>
  <c r="AK10" i="57"/>
  <c r="AK10" i="61"/>
  <c r="E25" i="58"/>
  <c r="E29" i="64"/>
  <c r="E11" i="64"/>
  <c r="AK54" i="61"/>
  <c r="AK39" i="65"/>
  <c r="E19" i="60"/>
  <c r="AK30" i="57"/>
  <c r="AK40" i="64"/>
  <c r="AK41" i="63"/>
  <c r="AL49" i="58"/>
  <c r="E47" i="60"/>
  <c r="AL10" i="64"/>
  <c r="AK11" i="64"/>
  <c r="E34" i="63"/>
  <c r="AK52" i="61"/>
  <c r="E33" i="58"/>
  <c r="AK40" i="61"/>
  <c r="AL16" i="64"/>
  <c r="AK32" i="63"/>
  <c r="E28" i="57"/>
  <c r="AL8" i="58"/>
  <c r="AL25" i="65"/>
  <c r="AL52" i="65"/>
  <c r="AL61" i="58"/>
  <c r="AK34" i="63"/>
  <c r="AK39" i="57"/>
  <c r="AK50" i="65"/>
  <c r="E45" i="57"/>
  <c r="AK30" i="65"/>
  <c r="AL55" i="64"/>
  <c r="AK27" i="63"/>
  <c r="E40" i="60"/>
  <c r="AL12" i="57"/>
  <c r="E37" i="65"/>
  <c r="E52" i="58"/>
  <c r="AK25" i="58"/>
  <c r="AL43" i="57"/>
  <c r="E35" i="64"/>
  <c r="AL52" i="64"/>
  <c r="AK36" i="60"/>
  <c r="AK18" i="60"/>
  <c r="AK47" i="64"/>
  <c r="AL22" i="58"/>
  <c r="AL31" i="61"/>
  <c r="AL13" i="63"/>
  <c r="AL41" i="61"/>
  <c r="E30" i="58"/>
  <c r="AK51" i="57"/>
  <c r="E45" i="65"/>
  <c r="E23" i="63"/>
  <c r="AK32" i="64"/>
  <c r="AK31" i="63"/>
  <c r="AK51" i="60"/>
  <c r="AK24" i="57"/>
  <c r="AK27" i="65"/>
  <c r="AL36" i="61"/>
  <c r="E10" i="63"/>
  <c r="AL32" i="57"/>
  <c r="AL30" i="65"/>
  <c r="AK9" i="64"/>
  <c r="AL34" i="60"/>
  <c r="E62" i="61"/>
  <c r="E53" i="64"/>
  <c r="AK22" i="60"/>
  <c r="E50" i="64"/>
  <c r="AL45" i="65"/>
  <c r="AK14" i="64"/>
  <c r="AK62" i="65"/>
  <c r="AK44" i="65"/>
  <c r="E16" i="58"/>
  <c r="AK50" i="63"/>
  <c r="AK62" i="60"/>
  <c r="AK33" i="60"/>
  <c r="AL11" i="63"/>
  <c r="AL26" i="64"/>
  <c r="AK21" i="60"/>
  <c r="AL31" i="57"/>
  <c r="AK9" i="65"/>
  <c r="E47" i="63"/>
  <c r="AL54" i="57"/>
  <c r="E44" i="61"/>
  <c r="AL47" i="60"/>
  <c r="AK48" i="61"/>
  <c r="AL33" i="58"/>
  <c r="AK20" i="60"/>
  <c r="AL22" i="64"/>
  <c r="E53" i="61"/>
  <c r="AL7" i="60"/>
  <c r="E18" i="63"/>
  <c r="AL38" i="60"/>
  <c r="AL20" i="63"/>
  <c r="E39" i="64"/>
  <c r="AL23" i="57"/>
  <c r="E26" i="63"/>
  <c r="AL20" i="58"/>
  <c r="AK50" i="61"/>
  <c r="AL18" i="65"/>
  <c r="AK15" i="60"/>
  <c r="AK49" i="57"/>
  <c r="AL35" i="60"/>
  <c r="AL34" i="65"/>
  <c r="AL55" i="63"/>
  <c r="AK27" i="64"/>
  <c r="AK16" i="58"/>
  <c r="AK8" i="63"/>
  <c r="AL53" i="57"/>
  <c r="E55" i="61"/>
  <c r="AL49" i="65"/>
  <c r="AL30" i="58"/>
  <c r="E43" i="57"/>
  <c r="E17" i="65"/>
  <c r="AL30" i="60"/>
  <c r="AK43" i="61"/>
  <c r="AL17" i="63"/>
  <c r="AL22" i="63"/>
  <c r="AK38" i="63"/>
  <c r="E10" i="65"/>
  <c r="AK28" i="64"/>
  <c r="AK8" i="65"/>
  <c r="AL15" i="57"/>
  <c r="AL9" i="64"/>
  <c r="AK42" i="60"/>
  <c r="AL22" i="60"/>
  <c r="E48" i="63"/>
  <c r="AK38" i="65"/>
  <c r="AK36" i="65"/>
  <c r="E14" i="65"/>
  <c r="AL43" i="61"/>
  <c r="AL40" i="61"/>
  <c r="AL47" i="58"/>
  <c r="AK43" i="63"/>
  <c r="AL51" i="63"/>
  <c r="AL37" i="64"/>
  <c r="AL38" i="58"/>
  <c r="AK54" i="60"/>
  <c r="AL24" i="57"/>
  <c r="AL8" i="61"/>
  <c r="AL61" i="57"/>
  <c r="AL21" i="61"/>
  <c r="AL13" i="61"/>
  <c r="AL32" i="65"/>
  <c r="AK13" i="64"/>
  <c r="AK35" i="58"/>
  <c r="AK54" i="57"/>
  <c r="AK32" i="61"/>
  <c r="AL23" i="61"/>
  <c r="AL54" i="61"/>
  <c r="AL35" i="64"/>
  <c r="AL52" i="61"/>
  <c r="AL37" i="63"/>
  <c r="E8" i="57"/>
  <c r="AK45" i="63"/>
  <c r="AK48" i="64"/>
  <c r="AK23" i="60"/>
  <c r="AK37" i="57"/>
  <c r="E47" i="64"/>
  <c r="E24" i="61"/>
  <c r="E57" i="57"/>
  <c r="AK15" i="65"/>
  <c r="AL35" i="65"/>
  <c r="AK13" i="58"/>
  <c r="AL33" i="57"/>
  <c r="AL36" i="64"/>
  <c r="AK62" i="58"/>
  <c r="AK54" i="63"/>
  <c r="E13" i="60"/>
  <c r="E21" i="64"/>
  <c r="E22" i="64"/>
  <c r="AK40" i="65"/>
  <c r="E38" i="61"/>
  <c r="E42" i="57"/>
  <c r="E61" i="63"/>
  <c r="E22" i="63"/>
  <c r="AL41" i="57"/>
  <c r="AK42" i="63"/>
  <c r="AK54" i="64"/>
  <c r="E27" i="65"/>
  <c r="AK26" i="60"/>
  <c r="AL10" i="65"/>
  <c r="AK47" i="63"/>
  <c r="AL54" i="60"/>
  <c r="AK31" i="64"/>
  <c r="AL27" i="63"/>
  <c r="AK42" i="61"/>
  <c r="AK7" i="65"/>
  <c r="AK17" i="60"/>
  <c r="AL53" i="64"/>
  <c r="E28" i="61"/>
  <c r="AK15" i="61"/>
  <c r="AK29" i="65"/>
  <c r="E29" i="65"/>
  <c r="E54" i="60"/>
  <c r="AL24" i="64"/>
  <c r="AK20" i="63"/>
  <c r="AK9" i="58"/>
  <c r="AK12" i="57"/>
  <c r="E61" i="65"/>
  <c r="AK61" i="61"/>
  <c r="AK45" i="57"/>
  <c r="AL19" i="63"/>
  <c r="E17" i="58"/>
  <c r="AL21" i="64"/>
  <c r="E33" i="61"/>
  <c r="E25" i="63"/>
  <c r="AK21" i="58"/>
  <c r="E12" i="65"/>
  <c r="E48" i="64"/>
  <c r="E30" i="63"/>
  <c r="AK28" i="65"/>
  <c r="E13" i="63"/>
  <c r="AL9" i="60"/>
  <c r="AL57" i="57"/>
  <c r="AL37" i="60"/>
  <c r="AL40" i="65"/>
  <c r="AK11" i="65"/>
  <c r="AL51" i="64"/>
  <c r="E44" i="65"/>
  <c r="AK21" i="61"/>
  <c r="E61" i="58"/>
  <c r="AK32" i="65"/>
  <c r="AL9" i="61"/>
  <c r="E14" i="60"/>
  <c r="AL47" i="57"/>
  <c r="AK10" i="64"/>
  <c r="AK52" i="57"/>
  <c r="AL61" i="60"/>
  <c r="AK30" i="64"/>
  <c r="AK41" i="61"/>
  <c r="E10" i="57"/>
  <c r="AL16" i="65"/>
  <c r="AL17" i="60"/>
  <c r="E42" i="64"/>
  <c r="E43" i="65"/>
  <c r="AK26" i="58"/>
  <c r="E8" i="61"/>
  <c r="E53" i="58"/>
  <c r="E46" i="60"/>
  <c r="AK9" i="60"/>
  <c r="AK40" i="58"/>
  <c r="AL13" i="64"/>
  <c r="AL31" i="60"/>
  <c r="E23" i="60"/>
  <c r="AL51" i="60"/>
  <c r="AL43" i="65"/>
  <c r="AK62" i="64"/>
  <c r="AL8" i="60"/>
  <c r="AL42" i="57"/>
  <c r="AK61" i="64"/>
  <c r="E18" i="61"/>
  <c r="AL25" i="58"/>
  <c r="E29" i="57"/>
  <c r="AK24" i="63"/>
  <c r="AK51" i="64"/>
  <c r="AK44" i="60"/>
  <c r="AL34" i="64"/>
  <c r="AK19" i="57"/>
  <c r="AK52" i="65"/>
  <c r="AK41" i="58"/>
  <c r="AL50" i="58"/>
  <c r="E45" i="58"/>
  <c r="AK48" i="63"/>
  <c r="E33" i="64"/>
  <c r="E11" i="65"/>
  <c r="AL31" i="58"/>
  <c r="AK52" i="58"/>
  <c r="AK8" i="57"/>
  <c r="AK28" i="58"/>
  <c r="AL40" i="63"/>
  <c r="E24" i="60"/>
  <c r="AK34" i="60"/>
  <c r="E37" i="64"/>
  <c r="AK62" i="57"/>
  <c r="AL19" i="65"/>
  <c r="E55" i="64"/>
  <c r="AL13" i="57"/>
  <c r="AL14" i="57"/>
  <c r="E14" i="63"/>
  <c r="AL16" i="60"/>
  <c r="E41" i="61"/>
  <c r="AL20" i="57"/>
  <c r="E56" i="58"/>
  <c r="AL46" i="64"/>
  <c r="AK48" i="65"/>
  <c r="U14" i="66" l="1"/>
  <c r="U5" i="66" s="1"/>
  <c r="V9" i="66"/>
  <c r="O14" i="66"/>
  <c r="O5" i="66" s="1"/>
  <c r="AA10" i="66"/>
  <c r="V12" i="66"/>
  <c r="AA12" i="66"/>
  <c r="AA9" i="66"/>
  <c r="R14" i="66"/>
  <c r="AA8" i="66"/>
  <c r="AM48" i="65"/>
  <c r="AG17" i="60"/>
  <c r="AH17" i="60"/>
  <c r="AG16" i="65"/>
  <c r="AH16" i="65"/>
  <c r="AM16" i="57"/>
  <c r="AM11" i="60"/>
  <c r="AH35" i="60"/>
  <c r="AG35" i="60"/>
  <c r="AM33" i="60"/>
  <c r="AH42" i="63"/>
  <c r="AG42" i="63"/>
  <c r="AG46" i="64"/>
  <c r="AH46" i="64"/>
  <c r="AM41" i="61"/>
  <c r="AH28" i="65"/>
  <c r="AG28" i="65"/>
  <c r="AM47" i="60"/>
  <c r="AM30" i="64"/>
  <c r="AM27" i="57"/>
  <c r="AH42" i="61"/>
  <c r="AG42" i="61"/>
  <c r="AM49" i="57"/>
  <c r="AH61" i="60"/>
  <c r="AG61" i="60"/>
  <c r="AM62" i="60"/>
  <c r="AG50" i="60"/>
  <c r="AH50" i="60"/>
  <c r="AM52" i="57"/>
  <c r="AG40" i="58"/>
  <c r="AH40" i="58"/>
  <c r="AH18" i="57"/>
  <c r="AG18" i="57"/>
  <c r="AM10" i="64"/>
  <c r="AM8" i="60"/>
  <c r="AG20" i="57"/>
  <c r="AH20" i="57"/>
  <c r="AG47" i="57"/>
  <c r="AH47" i="57"/>
  <c r="AM50" i="63"/>
  <c r="AM43" i="64"/>
  <c r="AM15" i="60"/>
  <c r="AM14" i="57"/>
  <c r="AG7" i="65"/>
  <c r="AH7" i="65"/>
  <c r="AG9" i="61"/>
  <c r="AH9" i="61"/>
  <c r="AM35" i="63"/>
  <c r="AM32" i="65"/>
  <c r="AH19" i="60"/>
  <c r="AG19" i="60"/>
  <c r="AG18" i="65"/>
  <c r="AH18" i="65"/>
  <c r="AM21" i="61"/>
  <c r="AG15" i="65"/>
  <c r="AH15" i="65"/>
  <c r="AM13" i="63"/>
  <c r="AH16" i="60"/>
  <c r="AG16" i="60"/>
  <c r="AM18" i="61"/>
  <c r="AH48" i="63"/>
  <c r="AG48" i="63"/>
  <c r="AM9" i="57"/>
  <c r="AG51" i="64"/>
  <c r="AH51" i="64"/>
  <c r="AM44" i="65"/>
  <c r="AM29" i="61"/>
  <c r="AH44" i="61"/>
  <c r="AG44" i="61"/>
  <c r="AM50" i="61"/>
  <c r="AM11" i="65"/>
  <c r="AH41" i="60"/>
  <c r="AG41" i="60"/>
  <c r="AH27" i="61"/>
  <c r="AG27" i="61"/>
  <c r="AH40" i="65"/>
  <c r="AG40" i="65"/>
  <c r="AH43" i="64"/>
  <c r="AG43" i="64"/>
  <c r="AM19" i="65"/>
  <c r="AH15" i="60"/>
  <c r="AG15" i="60"/>
  <c r="AH21" i="58"/>
  <c r="AG21" i="58"/>
  <c r="AH37" i="60"/>
  <c r="AG37" i="60"/>
  <c r="AM62" i="65"/>
  <c r="AM53" i="63"/>
  <c r="AH14" i="57"/>
  <c r="AG14" i="57"/>
  <c r="AH57" i="57"/>
  <c r="AG57" i="57"/>
  <c r="AM18" i="57"/>
  <c r="AM46" i="64"/>
  <c r="AH9" i="60"/>
  <c r="AG9" i="60"/>
  <c r="AM14" i="64"/>
  <c r="AM10" i="60"/>
  <c r="AH13" i="57"/>
  <c r="AG13" i="57"/>
  <c r="AM33" i="64"/>
  <c r="AM20" i="57"/>
  <c r="AM61" i="57"/>
  <c r="AH20" i="58"/>
  <c r="AG20" i="58"/>
  <c r="AM28" i="65"/>
  <c r="AM29" i="58"/>
  <c r="AG45" i="65"/>
  <c r="AH45" i="65"/>
  <c r="AM46" i="60"/>
  <c r="AH18" i="63"/>
  <c r="AG18" i="63"/>
  <c r="AG45" i="57"/>
  <c r="AH45" i="57"/>
  <c r="AM56" i="57"/>
  <c r="AG19" i="65"/>
  <c r="AH19" i="65"/>
  <c r="AM21" i="58"/>
  <c r="AM37" i="60"/>
  <c r="AH53" i="63"/>
  <c r="AG53" i="63"/>
  <c r="AH12" i="65"/>
  <c r="AG12" i="65"/>
  <c r="AG10" i="58"/>
  <c r="AH10" i="58"/>
  <c r="AM22" i="60"/>
  <c r="AM9" i="63"/>
  <c r="AM46" i="58"/>
  <c r="AM62" i="57"/>
  <c r="AH21" i="64"/>
  <c r="AG21" i="64"/>
  <c r="AH10" i="60"/>
  <c r="AG10" i="60"/>
  <c r="AM13" i="57"/>
  <c r="AG9" i="58"/>
  <c r="AH9" i="58"/>
  <c r="AM22" i="64"/>
  <c r="AG33" i="64"/>
  <c r="AH33" i="64"/>
  <c r="AG14" i="63"/>
  <c r="AH14" i="63"/>
  <c r="AM20" i="58"/>
  <c r="AM49" i="58"/>
  <c r="AG19" i="63"/>
  <c r="AH19" i="63"/>
  <c r="AH44" i="57"/>
  <c r="AG44" i="57"/>
  <c r="AH29" i="58"/>
  <c r="AG29" i="58"/>
  <c r="AM45" i="65"/>
  <c r="AG23" i="57"/>
  <c r="AH23" i="57"/>
  <c r="AM38" i="61"/>
  <c r="AM45" i="57"/>
  <c r="AM37" i="58"/>
  <c r="AM56" i="58"/>
  <c r="AH55" i="58"/>
  <c r="AG55" i="58"/>
  <c r="AM61" i="61"/>
  <c r="AH48" i="58"/>
  <c r="AG48" i="58"/>
  <c r="O11" i="63"/>
  <c r="U11" i="63"/>
  <c r="R9" i="63"/>
  <c r="R10" i="63"/>
  <c r="O10" i="63"/>
  <c r="U9" i="63"/>
  <c r="V9" i="63" s="1"/>
  <c r="U12" i="63"/>
  <c r="R16" i="63" a="1"/>
  <c r="R16" i="63" s="1"/>
  <c r="O8" i="63"/>
  <c r="U10" i="63"/>
  <c r="V10" i="63" s="1"/>
  <c r="R13" i="63"/>
  <c r="R12" i="63"/>
  <c r="O13" i="63"/>
  <c r="U8" i="63"/>
  <c r="O9" i="63"/>
  <c r="O16" i="63" a="1"/>
  <c r="O16" i="63" s="1"/>
  <c r="U16" i="63" a="1"/>
  <c r="U16" i="63" s="1"/>
  <c r="U13" i="63"/>
  <c r="V13" i="63" s="1"/>
  <c r="O12" i="63"/>
  <c r="R8" i="63"/>
  <c r="R11" i="63"/>
  <c r="S11" i="63" s="1"/>
  <c r="AG38" i="65"/>
  <c r="AH38" i="65"/>
  <c r="AM34" i="60"/>
  <c r="AM23" i="58"/>
  <c r="AM40" i="63"/>
  <c r="AM12" i="65"/>
  <c r="AM10" i="63"/>
  <c r="AH33" i="61"/>
  <c r="AG33" i="61"/>
  <c r="AH39" i="61"/>
  <c r="AG39" i="61"/>
  <c r="AG27" i="58"/>
  <c r="AH27" i="58"/>
  <c r="AM12" i="57"/>
  <c r="AG9" i="63"/>
  <c r="AH9" i="63"/>
  <c r="AM21" i="64"/>
  <c r="AM35" i="65"/>
  <c r="AG29" i="65"/>
  <c r="AH29" i="65"/>
  <c r="AM15" i="58"/>
  <c r="AM9" i="58"/>
  <c r="AM54" i="65"/>
  <c r="AG28" i="58"/>
  <c r="AH28" i="58"/>
  <c r="AM7" i="61"/>
  <c r="AM16" i="63"/>
  <c r="AM20" i="63"/>
  <c r="AG36" i="63"/>
  <c r="AH36" i="63"/>
  <c r="AM43" i="65"/>
  <c r="AM23" i="57"/>
  <c r="AH28" i="64"/>
  <c r="AG28" i="64"/>
  <c r="AH24" i="64"/>
  <c r="AG24" i="64"/>
  <c r="AG25" i="63"/>
  <c r="AH25" i="63"/>
  <c r="AH21" i="60"/>
  <c r="AG21" i="60"/>
  <c r="AG61" i="61"/>
  <c r="AH61" i="61"/>
  <c r="AM48" i="58"/>
  <c r="AG34" i="60"/>
  <c r="AH34" i="60"/>
  <c r="AH23" i="58"/>
  <c r="AG23" i="58"/>
  <c r="AH40" i="63"/>
  <c r="AG40" i="63"/>
  <c r="AH10" i="63"/>
  <c r="AG10" i="63"/>
  <c r="AM39" i="61"/>
  <c r="U9" i="65"/>
  <c r="V9" i="65" s="1"/>
  <c r="U8" i="65"/>
  <c r="U10" i="65"/>
  <c r="V10" i="65" s="1"/>
  <c r="U11" i="65"/>
  <c r="R10" i="65"/>
  <c r="O16" i="65" a="1"/>
  <c r="O16" i="65" s="1"/>
  <c r="R12" i="65"/>
  <c r="U12" i="65"/>
  <c r="O11" i="65"/>
  <c r="O12" i="65"/>
  <c r="O13" i="65"/>
  <c r="P13" i="65" s="1"/>
  <c r="R13" i="65"/>
  <c r="U13" i="65"/>
  <c r="V13" i="65" s="1"/>
  <c r="O10" i="65"/>
  <c r="U16" i="65" a="1"/>
  <c r="U16" i="65" s="1"/>
  <c r="R8" i="65"/>
  <c r="O8" i="65"/>
  <c r="O9" i="65"/>
  <c r="R9" i="65"/>
  <c r="R11" i="65"/>
  <c r="S11" i="65" s="1"/>
  <c r="R16" i="65" a="1"/>
  <c r="R16" i="65" s="1"/>
  <c r="AG14" i="65"/>
  <c r="AH14" i="65"/>
  <c r="AM12" i="61"/>
  <c r="AM36" i="61"/>
  <c r="AM29" i="65"/>
  <c r="AM17" i="61"/>
  <c r="AM9" i="64"/>
  <c r="AM31" i="58"/>
  <c r="AM18" i="64"/>
  <c r="AM28" i="58"/>
  <c r="AH7" i="61"/>
  <c r="AG7" i="61"/>
  <c r="AM15" i="61"/>
  <c r="AG27" i="65"/>
  <c r="AH27" i="65"/>
  <c r="AG45" i="64"/>
  <c r="AH45" i="64"/>
  <c r="AG20" i="63"/>
  <c r="AH20" i="63"/>
  <c r="AM46" i="65"/>
  <c r="AH39" i="60"/>
  <c r="AG39" i="60"/>
  <c r="AG30" i="65"/>
  <c r="AH30" i="65"/>
  <c r="AG21" i="63"/>
  <c r="AH21" i="63"/>
  <c r="AM8" i="57"/>
  <c r="AG53" i="64"/>
  <c r="AH53" i="64"/>
  <c r="AM24" i="64"/>
  <c r="AG32" i="57"/>
  <c r="AH32" i="57"/>
  <c r="AM50" i="58"/>
  <c r="AM13" i="65"/>
  <c r="AM17" i="60"/>
  <c r="AG33" i="60"/>
  <c r="AH33" i="60"/>
  <c r="AM52" i="58"/>
  <c r="AM33" i="57"/>
  <c r="AM7" i="65"/>
  <c r="AM34" i="64"/>
  <c r="AM28" i="60"/>
  <c r="AM22" i="57"/>
  <c r="AH27" i="57"/>
  <c r="AG27" i="57"/>
  <c r="AM42" i="61"/>
  <c r="AG12" i="61"/>
  <c r="AH12" i="61"/>
  <c r="AH36" i="61"/>
  <c r="AG36" i="61"/>
  <c r="AH28" i="57"/>
  <c r="AG28" i="57"/>
  <c r="AH35" i="63"/>
  <c r="AG35" i="63"/>
  <c r="AG31" i="58"/>
  <c r="AH31" i="58"/>
  <c r="AG26" i="65"/>
  <c r="AH26" i="65"/>
  <c r="AG27" i="63"/>
  <c r="AH27" i="63"/>
  <c r="AG15" i="61"/>
  <c r="AH15" i="61"/>
  <c r="AM27" i="65"/>
  <c r="AH52" i="60"/>
  <c r="AG52" i="60"/>
  <c r="AH46" i="63"/>
  <c r="AG46" i="63"/>
  <c r="AM55" i="64"/>
  <c r="AG38" i="60"/>
  <c r="AH38" i="60"/>
  <c r="AM14" i="58"/>
  <c r="AM31" i="64"/>
  <c r="AH29" i="64"/>
  <c r="AG29" i="64"/>
  <c r="AM24" i="57"/>
  <c r="AM34" i="58"/>
  <c r="AG32" i="64"/>
  <c r="AH32" i="64"/>
  <c r="AH8" i="57"/>
  <c r="AG8" i="57"/>
  <c r="AM43" i="58"/>
  <c r="AG54" i="60"/>
  <c r="AH54" i="60"/>
  <c r="AM51" i="60"/>
  <c r="AH16" i="61"/>
  <c r="AG16" i="61"/>
  <c r="AH37" i="57"/>
  <c r="AG37" i="57"/>
  <c r="AG18" i="60"/>
  <c r="AH18" i="60"/>
  <c r="AM47" i="63"/>
  <c r="AM52" i="60"/>
  <c r="AM31" i="63"/>
  <c r="AM46" i="63"/>
  <c r="AM38" i="60"/>
  <c r="AM29" i="64"/>
  <c r="AH10" i="65"/>
  <c r="AG10" i="65"/>
  <c r="AH34" i="58"/>
  <c r="AG34" i="58"/>
  <c r="AM32" i="64"/>
  <c r="AM31" i="61"/>
  <c r="AM52" i="63"/>
  <c r="AM31" i="65"/>
  <c r="AM26" i="60"/>
  <c r="AM7" i="60"/>
  <c r="AH25" i="61"/>
  <c r="AG25" i="61"/>
  <c r="AM35" i="60"/>
  <c r="AG50" i="63"/>
  <c r="AH50" i="63"/>
  <c r="AG48" i="65"/>
  <c r="AH48" i="65"/>
  <c r="AM19" i="60"/>
  <c r="AM50" i="60"/>
  <c r="AM18" i="65"/>
  <c r="AH52" i="57"/>
  <c r="AG52" i="57"/>
  <c r="AM54" i="64"/>
  <c r="AM51" i="57"/>
  <c r="AH26" i="63"/>
  <c r="AG26" i="63"/>
  <c r="AG41" i="64"/>
  <c r="AH41" i="64"/>
  <c r="AG13" i="58"/>
  <c r="AH13" i="58"/>
  <c r="AM42" i="63"/>
  <c r="AM9" i="61"/>
  <c r="AH7" i="58"/>
  <c r="AG7" i="58"/>
  <c r="AH18" i="61"/>
  <c r="AG18" i="61"/>
  <c r="AM48" i="63"/>
  <c r="AM27" i="60"/>
  <c r="AG41" i="57"/>
  <c r="AH41" i="57"/>
  <c r="AG41" i="61"/>
  <c r="AH41" i="61"/>
  <c r="AH49" i="57"/>
  <c r="AG49" i="57"/>
  <c r="AM53" i="61"/>
  <c r="AM47" i="57"/>
  <c r="AG44" i="60"/>
  <c r="AH44" i="60"/>
  <c r="AH13" i="63"/>
  <c r="AG13" i="63"/>
  <c r="AG9" i="57"/>
  <c r="AH9" i="57"/>
  <c r="AH44" i="65"/>
  <c r="AG44" i="65"/>
  <c r="AM44" i="61"/>
  <c r="AG31" i="61"/>
  <c r="AH31" i="61"/>
  <c r="AH31" i="65"/>
  <c r="AG31" i="65"/>
  <c r="AM41" i="60"/>
  <c r="AH26" i="60"/>
  <c r="AG26" i="60"/>
  <c r="AH7" i="60"/>
  <c r="AG7" i="60"/>
  <c r="AM38" i="58"/>
  <c r="AG22" i="58"/>
  <c r="AH22" i="58"/>
  <c r="AM32" i="57"/>
  <c r="AM47" i="64"/>
  <c r="AG20" i="60"/>
  <c r="AH20" i="60"/>
  <c r="AH50" i="65"/>
  <c r="AG50" i="65"/>
  <c r="AG50" i="58"/>
  <c r="AH50" i="58"/>
  <c r="AM14" i="60"/>
  <c r="AM40" i="65"/>
  <c r="AM55" i="58"/>
  <c r="AM18" i="60"/>
  <c r="AG24" i="63"/>
  <c r="AH24" i="63"/>
  <c r="AG34" i="61"/>
  <c r="AH34" i="61"/>
  <c r="AG50" i="57"/>
  <c r="AH50" i="57"/>
  <c r="AM36" i="60"/>
  <c r="AH12" i="60"/>
  <c r="AG12" i="60"/>
  <c r="AH48" i="64"/>
  <c r="AG48" i="64"/>
  <c r="AM41" i="58"/>
  <c r="AH34" i="63"/>
  <c r="AG34" i="63"/>
  <c r="AG25" i="57"/>
  <c r="AH25" i="57"/>
  <c r="AH52" i="64"/>
  <c r="AG52" i="64"/>
  <c r="AM33" i="58"/>
  <c r="AG45" i="63"/>
  <c r="AH45" i="63"/>
  <c r="AM61" i="58"/>
  <c r="AM55" i="60"/>
  <c r="AM53" i="58"/>
  <c r="AM52" i="65"/>
  <c r="AG7" i="64"/>
  <c r="AH7" i="64"/>
  <c r="AM54" i="63"/>
  <c r="AM37" i="65"/>
  <c r="AG43" i="57"/>
  <c r="AH43" i="57"/>
  <c r="AM37" i="63"/>
  <c r="AM17" i="64"/>
  <c r="AM28" i="61"/>
  <c r="AM62" i="58"/>
  <c r="AM25" i="58"/>
  <c r="AM34" i="65"/>
  <c r="AM11" i="61"/>
  <c r="AM49" i="61"/>
  <c r="AM8" i="58"/>
  <c r="AG36" i="64"/>
  <c r="AH36" i="64"/>
  <c r="AM7" i="57"/>
  <c r="AM53" i="60"/>
  <c r="AM19" i="57"/>
  <c r="AH33" i="57"/>
  <c r="AG33" i="57"/>
  <c r="AM33" i="61"/>
  <c r="AG30" i="64"/>
  <c r="AH30" i="64"/>
  <c r="AM10" i="58"/>
  <c r="AM26" i="63"/>
  <c r="AH34" i="64"/>
  <c r="AG34" i="64"/>
  <c r="AM27" i="58"/>
  <c r="AM13" i="58"/>
  <c r="AH28" i="60"/>
  <c r="AG28" i="60"/>
  <c r="AG12" i="57"/>
  <c r="AH12" i="57"/>
  <c r="AH22" i="57"/>
  <c r="AG22" i="57"/>
  <c r="AH46" i="58"/>
  <c r="AG46" i="58"/>
  <c r="AM7" i="58"/>
  <c r="AG35" i="65"/>
  <c r="AH35" i="65"/>
  <c r="AM41" i="57"/>
  <c r="AH15" i="58"/>
  <c r="AG15" i="58"/>
  <c r="AG22" i="64"/>
  <c r="AH22" i="64"/>
  <c r="AH53" i="61"/>
  <c r="AG53" i="61"/>
  <c r="AM15" i="65"/>
  <c r="AG11" i="60"/>
  <c r="AH11" i="60"/>
  <c r="AM27" i="63"/>
  <c r="AH47" i="63"/>
  <c r="AG47" i="63"/>
  <c r="AM19" i="63"/>
  <c r="AM44" i="60"/>
  <c r="AM45" i="64"/>
  <c r="AH55" i="64"/>
  <c r="AG55" i="64"/>
  <c r="AG14" i="58"/>
  <c r="AH14" i="58"/>
  <c r="AM36" i="63"/>
  <c r="AM51" i="64"/>
  <c r="AG31" i="64"/>
  <c r="AH31" i="64"/>
  <c r="AH29" i="61"/>
  <c r="AG29" i="61"/>
  <c r="AM30" i="65"/>
  <c r="AH38" i="61"/>
  <c r="AG38" i="61"/>
  <c r="O11" i="60"/>
  <c r="U8" i="60"/>
  <c r="R11" i="60"/>
  <c r="O13" i="60"/>
  <c r="R10" i="60"/>
  <c r="O12" i="60"/>
  <c r="O10" i="60"/>
  <c r="AA10" i="60" s="1"/>
  <c r="R12" i="60"/>
  <c r="U9" i="60"/>
  <c r="V9" i="60" s="1"/>
  <c r="U10" i="60"/>
  <c r="R8" i="60"/>
  <c r="U12" i="60"/>
  <c r="R16" i="60" a="1"/>
  <c r="R16" i="60" s="1"/>
  <c r="R13" i="60"/>
  <c r="S13" i="60" s="1"/>
  <c r="U11" i="60"/>
  <c r="V11" i="60" s="1"/>
  <c r="U16" i="60" a="1"/>
  <c r="U16" i="60" s="1"/>
  <c r="O16" i="60" a="1"/>
  <c r="O16" i="60" s="1"/>
  <c r="R9" i="60"/>
  <c r="O9" i="60"/>
  <c r="AA9" i="60" s="1"/>
  <c r="O8" i="60"/>
  <c r="U13" i="60"/>
  <c r="V13" i="60" s="1"/>
  <c r="AH11" i="65"/>
  <c r="AG11" i="65"/>
  <c r="AM27" i="61"/>
  <c r="AH47" i="64"/>
  <c r="AG47" i="64"/>
  <c r="AM20" i="60"/>
  <c r="AM37" i="57"/>
  <c r="AM50" i="65"/>
  <c r="AH14" i="60"/>
  <c r="AG14" i="60"/>
  <c r="AM24" i="63"/>
  <c r="AM34" i="61"/>
  <c r="AM23" i="60"/>
  <c r="AH48" i="61"/>
  <c r="AG48" i="61"/>
  <c r="AM39" i="57"/>
  <c r="AG36" i="60"/>
  <c r="AH36" i="60"/>
  <c r="AH28" i="63"/>
  <c r="AG28" i="63"/>
  <c r="AM48" i="64"/>
  <c r="AM34" i="63"/>
  <c r="AM37" i="61"/>
  <c r="AM23" i="61"/>
  <c r="AM25" i="57"/>
  <c r="AG33" i="58"/>
  <c r="AH33" i="58"/>
  <c r="AM16" i="64"/>
  <c r="AM45" i="63"/>
  <c r="AM29" i="57"/>
  <c r="AH61" i="58"/>
  <c r="AG61" i="58"/>
  <c r="AG55" i="60"/>
  <c r="AH55" i="60"/>
  <c r="AH32" i="61"/>
  <c r="AG32" i="61"/>
  <c r="AM12" i="63"/>
  <c r="AG51" i="58"/>
  <c r="AH51" i="58"/>
  <c r="AH61" i="64"/>
  <c r="AG61" i="64"/>
  <c r="AH52" i="65"/>
  <c r="AG52" i="65"/>
  <c r="AM7" i="64"/>
  <c r="AH54" i="63"/>
  <c r="AG54" i="63"/>
  <c r="AH37" i="65"/>
  <c r="AG37" i="65"/>
  <c r="AM43" i="57"/>
  <c r="AH37" i="63"/>
  <c r="AG37" i="63"/>
  <c r="AG25" i="65"/>
  <c r="AH25" i="65"/>
  <c r="AH28" i="61"/>
  <c r="AG28" i="61"/>
  <c r="AG25" i="58"/>
  <c r="AH25" i="58"/>
  <c r="AG52" i="61"/>
  <c r="AH52" i="61"/>
  <c r="AG49" i="61"/>
  <c r="AH49" i="61"/>
  <c r="AH8" i="58"/>
  <c r="AG8" i="58"/>
  <c r="AM42" i="57"/>
  <c r="AM34" i="57"/>
  <c r="AH7" i="57"/>
  <c r="AG7" i="57"/>
  <c r="AG53" i="60"/>
  <c r="AH53" i="60"/>
  <c r="AG35" i="64"/>
  <c r="AH35" i="64"/>
  <c r="AG19" i="57"/>
  <c r="AH19" i="57"/>
  <c r="AM48" i="57"/>
  <c r="AG23" i="60"/>
  <c r="AH23" i="60"/>
  <c r="AM48" i="61"/>
  <c r="AH39" i="57"/>
  <c r="AG39" i="57"/>
  <c r="AH54" i="61"/>
  <c r="AG54" i="61"/>
  <c r="AM32" i="63"/>
  <c r="AM28" i="63"/>
  <c r="AM22" i="61"/>
  <c r="AG37" i="61"/>
  <c r="AH37" i="61"/>
  <c r="AG23" i="61"/>
  <c r="AH23" i="61"/>
  <c r="AM38" i="64"/>
  <c r="AG16" i="64"/>
  <c r="AH16" i="64"/>
  <c r="AM47" i="58"/>
  <c r="AH29" i="57"/>
  <c r="AG29" i="57"/>
  <c r="AM18" i="58"/>
  <c r="AM32" i="60"/>
  <c r="AM32" i="61"/>
  <c r="AH12" i="63"/>
  <c r="AG12" i="63"/>
  <c r="AM40" i="61"/>
  <c r="AM51" i="58"/>
  <c r="AM61" i="64"/>
  <c r="AM54" i="57"/>
  <c r="AG25" i="64"/>
  <c r="AH25" i="64"/>
  <c r="AG48" i="60"/>
  <c r="AH48" i="60"/>
  <c r="AG10" i="61"/>
  <c r="AH10" i="61"/>
  <c r="AM25" i="65"/>
  <c r="AH55" i="57"/>
  <c r="AG55" i="57"/>
  <c r="AM35" i="58"/>
  <c r="AM52" i="61"/>
  <c r="AM30" i="61"/>
  <c r="AH10" i="57"/>
  <c r="AG10" i="57"/>
  <c r="AG42" i="57"/>
  <c r="AH42" i="57"/>
  <c r="AG34" i="57"/>
  <c r="AH34" i="57"/>
  <c r="AM13" i="64"/>
  <c r="AG36" i="65"/>
  <c r="AH36" i="65"/>
  <c r="AM35" i="64"/>
  <c r="AM20" i="64"/>
  <c r="AM57" i="57"/>
  <c r="AG47" i="60"/>
  <c r="AH47" i="60"/>
  <c r="AM40" i="60"/>
  <c r="AG32" i="65"/>
  <c r="AH32" i="65"/>
  <c r="AM23" i="65"/>
  <c r="AM11" i="64"/>
  <c r="AH43" i="60"/>
  <c r="AG43" i="60"/>
  <c r="AM47" i="65"/>
  <c r="AH12" i="64"/>
  <c r="AG12" i="64"/>
  <c r="AG13" i="61"/>
  <c r="AH13" i="61"/>
  <c r="AG10" i="64"/>
  <c r="AH10" i="64"/>
  <c r="AM24" i="58"/>
  <c r="AH42" i="60"/>
  <c r="AG42" i="60"/>
  <c r="AM16" i="65"/>
  <c r="AG8" i="60"/>
  <c r="AH8" i="60"/>
  <c r="AM39" i="63"/>
  <c r="AH21" i="61"/>
  <c r="AG21" i="61"/>
  <c r="AM28" i="57"/>
  <c r="AG36" i="57"/>
  <c r="AH36" i="57"/>
  <c r="AG54" i="65"/>
  <c r="AH54" i="65"/>
  <c r="AG16" i="57"/>
  <c r="AH16" i="57"/>
  <c r="AM62" i="64"/>
  <c r="AH18" i="64"/>
  <c r="AG18" i="64"/>
  <c r="AG61" i="57"/>
  <c r="AH61" i="57"/>
  <c r="AG49" i="58"/>
  <c r="AH49" i="58"/>
  <c r="AM15" i="57"/>
  <c r="AH16" i="63"/>
  <c r="AG16" i="63"/>
  <c r="AM61" i="60"/>
  <c r="AM44" i="57"/>
  <c r="AG8" i="61"/>
  <c r="AH8" i="61"/>
  <c r="AM41" i="63"/>
  <c r="AG8" i="65"/>
  <c r="AH8" i="65"/>
  <c r="AG43" i="65"/>
  <c r="AH43" i="65"/>
  <c r="AH24" i="57"/>
  <c r="AG24" i="57"/>
  <c r="AM40" i="64"/>
  <c r="AG19" i="61"/>
  <c r="AH19" i="61"/>
  <c r="AG50" i="61"/>
  <c r="AH50" i="61"/>
  <c r="AG43" i="58"/>
  <c r="AH43" i="58"/>
  <c r="AG19" i="64"/>
  <c r="AH19" i="64"/>
  <c r="AM54" i="60"/>
  <c r="AM23" i="63"/>
  <c r="AM30" i="57"/>
  <c r="AM17" i="58"/>
  <c r="AG51" i="60"/>
  <c r="AH51" i="60"/>
  <c r="AH37" i="58"/>
  <c r="AG37" i="58"/>
  <c r="AG38" i="58"/>
  <c r="AH38" i="58"/>
  <c r="AH38" i="63"/>
  <c r="AG38" i="63"/>
  <c r="AG51" i="61"/>
  <c r="AH51" i="61"/>
  <c r="AH37" i="64"/>
  <c r="AG37" i="64"/>
  <c r="AG35" i="61"/>
  <c r="AH35" i="61"/>
  <c r="AM39" i="65"/>
  <c r="AG9" i="65"/>
  <c r="AH9" i="65"/>
  <c r="AM33" i="63"/>
  <c r="AH26" i="57"/>
  <c r="AG26" i="57"/>
  <c r="AG48" i="57"/>
  <c r="AH48" i="57"/>
  <c r="AG51" i="63"/>
  <c r="AH51" i="63"/>
  <c r="AG11" i="58"/>
  <c r="AH11" i="58"/>
  <c r="AM54" i="61"/>
  <c r="AH7" i="63"/>
  <c r="AG7" i="63"/>
  <c r="AG32" i="63"/>
  <c r="AH32" i="63"/>
  <c r="AM43" i="63"/>
  <c r="AG22" i="61"/>
  <c r="AH22" i="61"/>
  <c r="AM20" i="61"/>
  <c r="AH14" i="61"/>
  <c r="AG14" i="61"/>
  <c r="AG38" i="64"/>
  <c r="AH38" i="64"/>
  <c r="AH47" i="58"/>
  <c r="AG47" i="58"/>
  <c r="AM29" i="63"/>
  <c r="AH18" i="58"/>
  <c r="AG18" i="58"/>
  <c r="AG32" i="60"/>
  <c r="AH32" i="60"/>
  <c r="AH15" i="64"/>
  <c r="AG15" i="64"/>
  <c r="AG31" i="60"/>
  <c r="AH31" i="60"/>
  <c r="AG40" i="61"/>
  <c r="AH40" i="61"/>
  <c r="AH55" i="65"/>
  <c r="AG55" i="65"/>
  <c r="AM33" i="65"/>
  <c r="AG54" i="57"/>
  <c r="AH54" i="57"/>
  <c r="AM25" i="64"/>
  <c r="AH43" i="61"/>
  <c r="AG43" i="61"/>
  <c r="AM48" i="60"/>
  <c r="AM10" i="61"/>
  <c r="AM44" i="63"/>
  <c r="AM55" i="57"/>
  <c r="AG35" i="58"/>
  <c r="AH35" i="58"/>
  <c r="AG30" i="61"/>
  <c r="AH30" i="61"/>
  <c r="AM10" i="57"/>
  <c r="AM49" i="63"/>
  <c r="AH13" i="64"/>
  <c r="AG13" i="64"/>
  <c r="AM36" i="65"/>
  <c r="AH19" i="58"/>
  <c r="AG19" i="58"/>
  <c r="AG20" i="64"/>
  <c r="AH20" i="64"/>
  <c r="AM16" i="60"/>
  <c r="AG13" i="65"/>
  <c r="AH13" i="65"/>
  <c r="AM38" i="65"/>
  <c r="AH54" i="64"/>
  <c r="AG54" i="64"/>
  <c r="AM40" i="58"/>
  <c r="AH52" i="58"/>
  <c r="AG52" i="58"/>
  <c r="AG51" i="57"/>
  <c r="AH51" i="57"/>
  <c r="AG40" i="60"/>
  <c r="AH40" i="60"/>
  <c r="AG23" i="65"/>
  <c r="AH23" i="65"/>
  <c r="AG11" i="64"/>
  <c r="AH11" i="64"/>
  <c r="U8" i="61"/>
  <c r="U9" i="61"/>
  <c r="V9" i="61" s="1"/>
  <c r="O8" i="61"/>
  <c r="R9" i="61"/>
  <c r="R10" i="61"/>
  <c r="R11" i="61"/>
  <c r="U16" i="61" a="1"/>
  <c r="U16" i="61" s="1"/>
  <c r="R16" i="61" a="1"/>
  <c r="R16" i="61" s="1"/>
  <c r="U12" i="61"/>
  <c r="U11" i="61"/>
  <c r="U10" i="61"/>
  <c r="V10" i="61" s="1"/>
  <c r="O12" i="61"/>
  <c r="O9" i="61"/>
  <c r="O11" i="61"/>
  <c r="AA11" i="61" s="1"/>
  <c r="U13" i="61"/>
  <c r="V13" i="61" s="1"/>
  <c r="R12" i="61"/>
  <c r="R8" i="61"/>
  <c r="O10" i="61"/>
  <c r="O16" i="61" a="1"/>
  <c r="O16" i="61" s="1"/>
  <c r="R13" i="61"/>
  <c r="O13" i="61"/>
  <c r="AM41" i="64"/>
  <c r="AM43" i="60"/>
  <c r="AG22" i="60"/>
  <c r="AH22" i="60"/>
  <c r="AH47" i="65"/>
  <c r="AG47" i="65"/>
  <c r="AM12" i="64"/>
  <c r="AM13" i="61"/>
  <c r="AM14" i="65"/>
  <c r="AM9" i="60"/>
  <c r="AH24" i="58"/>
  <c r="AG24" i="58"/>
  <c r="AM42" i="60"/>
  <c r="AH14" i="64"/>
  <c r="AG14" i="64"/>
  <c r="AG27" i="60"/>
  <c r="AH27" i="60"/>
  <c r="AH39" i="63"/>
  <c r="AG39" i="63"/>
  <c r="AG17" i="61"/>
  <c r="AH17" i="61"/>
  <c r="AM36" i="57"/>
  <c r="AH9" i="64"/>
  <c r="AG9" i="64"/>
  <c r="AM26" i="65"/>
  <c r="AM14" i="63"/>
  <c r="AH15" i="57"/>
  <c r="AG15" i="57"/>
  <c r="AG31" i="63"/>
  <c r="AH31" i="63"/>
  <c r="AM8" i="61"/>
  <c r="AH41" i="63"/>
  <c r="AG41" i="63"/>
  <c r="AM8" i="65"/>
  <c r="AG46" i="65"/>
  <c r="AH46" i="65"/>
  <c r="AM39" i="60"/>
  <c r="AH46" i="60"/>
  <c r="AG46" i="60"/>
  <c r="AM10" i="65"/>
  <c r="AM21" i="63"/>
  <c r="AM28" i="64"/>
  <c r="AM18" i="63"/>
  <c r="AH40" i="64"/>
  <c r="AG40" i="64"/>
  <c r="AM19" i="61"/>
  <c r="AH52" i="63"/>
  <c r="AG52" i="63"/>
  <c r="AM53" i="64"/>
  <c r="AM19" i="64"/>
  <c r="AG23" i="63"/>
  <c r="AH23" i="63"/>
  <c r="AG30" i="57"/>
  <c r="AH30" i="57"/>
  <c r="AG42" i="64"/>
  <c r="AH42" i="64"/>
  <c r="R8" i="57"/>
  <c r="O10" i="57"/>
  <c r="O8" i="57"/>
  <c r="AA8" i="57" s="1"/>
  <c r="O16" i="57" a="1"/>
  <c r="O16" i="57" s="1"/>
  <c r="O12" i="57"/>
  <c r="O13" i="57"/>
  <c r="R12" i="57"/>
  <c r="AA12" i="57" s="1"/>
  <c r="R16" i="57" a="1"/>
  <c r="R16" i="57" s="1"/>
  <c r="O11" i="57"/>
  <c r="O9" i="57"/>
  <c r="U9" i="57"/>
  <c r="V9" i="57" s="1"/>
  <c r="R10" i="57"/>
  <c r="U8" i="57"/>
  <c r="U13" i="57"/>
  <c r="V13" i="57" s="1"/>
  <c r="U10" i="57"/>
  <c r="R11" i="57"/>
  <c r="U12" i="57"/>
  <c r="U11" i="57"/>
  <c r="V11" i="57" s="1"/>
  <c r="U16" i="57" a="1"/>
  <c r="U16" i="57" s="1"/>
  <c r="R13" i="57"/>
  <c r="S13" i="57" s="1"/>
  <c r="R9" i="57"/>
  <c r="AG17" i="58"/>
  <c r="AH17" i="58"/>
  <c r="AM31" i="57"/>
  <c r="AM38" i="63"/>
  <c r="AG44" i="64"/>
  <c r="AH44" i="64"/>
  <c r="AM51" i="61"/>
  <c r="AM37" i="64"/>
  <c r="AM35" i="61"/>
  <c r="AG39" i="65"/>
  <c r="AH39" i="65"/>
  <c r="AM9" i="65"/>
  <c r="AH33" i="63"/>
  <c r="AG33" i="63"/>
  <c r="AM26" i="57"/>
  <c r="AH46" i="57"/>
  <c r="AG46" i="57"/>
  <c r="AH22" i="63"/>
  <c r="AG22" i="63"/>
  <c r="AM51" i="63"/>
  <c r="AM11" i="58"/>
  <c r="AM7" i="63"/>
  <c r="AG43" i="63"/>
  <c r="AH43" i="63"/>
  <c r="AM39" i="58"/>
  <c r="AH20" i="61"/>
  <c r="AG20" i="61"/>
  <c r="AM14" i="61"/>
  <c r="AM61" i="65"/>
  <c r="AG17" i="63"/>
  <c r="AH17" i="63"/>
  <c r="AH29" i="63"/>
  <c r="AG29" i="63"/>
  <c r="AM46" i="61"/>
  <c r="AH26" i="58"/>
  <c r="AG26" i="58"/>
  <c r="AM15" i="64"/>
  <c r="AM31" i="60"/>
  <c r="AM55" i="65"/>
  <c r="AM30" i="58"/>
  <c r="AG33" i="65"/>
  <c r="AH33" i="65"/>
  <c r="AM21" i="65"/>
  <c r="AM55" i="61"/>
  <c r="AM43" i="61"/>
  <c r="AH32" i="58"/>
  <c r="AG32" i="58"/>
  <c r="AG44" i="63"/>
  <c r="AH44" i="63"/>
  <c r="AM49" i="65"/>
  <c r="AM61" i="63"/>
  <c r="AG49" i="64"/>
  <c r="AH49" i="64"/>
  <c r="AG15" i="63"/>
  <c r="AH15" i="63"/>
  <c r="AH49" i="63"/>
  <c r="AG49" i="63"/>
  <c r="AG30" i="60"/>
  <c r="AH30" i="60"/>
  <c r="AM51" i="65"/>
  <c r="AM19" i="58"/>
  <c r="AM44" i="58"/>
  <c r="AM42" i="64"/>
  <c r="AM25" i="63"/>
  <c r="AG31" i="57"/>
  <c r="AH31" i="57"/>
  <c r="AM44" i="64"/>
  <c r="AG39" i="64"/>
  <c r="AH39" i="64"/>
  <c r="AG8" i="64"/>
  <c r="AH8" i="64"/>
  <c r="AH53" i="65"/>
  <c r="AG53" i="65"/>
  <c r="AH25" i="60"/>
  <c r="AG25" i="60"/>
  <c r="AM12" i="58"/>
  <c r="AH36" i="58"/>
  <c r="AG36" i="58"/>
  <c r="AM46" i="57"/>
  <c r="AM22" i="63"/>
  <c r="AM42" i="65"/>
  <c r="AM53" i="57"/>
  <c r="AH29" i="60"/>
  <c r="AG29" i="60"/>
  <c r="AH30" i="63"/>
  <c r="AG30" i="63"/>
  <c r="AG39" i="58"/>
  <c r="AH39" i="58"/>
  <c r="AG61" i="65"/>
  <c r="AH61" i="65"/>
  <c r="AM17" i="63"/>
  <c r="AG46" i="61"/>
  <c r="AH46" i="61"/>
  <c r="AM26" i="58"/>
  <c r="AH38" i="57"/>
  <c r="AG38" i="57"/>
  <c r="AH30" i="58"/>
  <c r="AG30" i="58"/>
  <c r="AH26" i="61"/>
  <c r="AG26" i="61"/>
  <c r="AH21" i="65"/>
  <c r="AG21" i="65"/>
  <c r="AH55" i="61"/>
  <c r="AG55" i="61"/>
  <c r="AM42" i="58"/>
  <c r="AH11" i="57"/>
  <c r="AG11" i="57"/>
  <c r="AM32" i="58"/>
  <c r="AM26" i="64"/>
  <c r="AH57" i="58"/>
  <c r="AG57" i="58"/>
  <c r="AH24" i="61"/>
  <c r="AG24" i="61"/>
  <c r="AG16" i="58"/>
  <c r="AH16" i="58"/>
  <c r="AM62" i="61"/>
  <c r="AH49" i="65"/>
  <c r="AG49" i="65"/>
  <c r="AH61" i="63"/>
  <c r="AG61" i="63"/>
  <c r="AM49" i="64"/>
  <c r="AM15" i="63"/>
  <c r="AG40" i="57"/>
  <c r="AH40" i="57"/>
  <c r="AM30" i="60"/>
  <c r="AG51" i="65"/>
  <c r="AH51" i="65"/>
  <c r="AG44" i="58"/>
  <c r="AH44" i="58"/>
  <c r="AM21" i="60"/>
  <c r="AM16" i="61"/>
  <c r="AG56" i="58"/>
  <c r="AH56" i="58"/>
  <c r="AM39" i="64"/>
  <c r="AM22" i="58"/>
  <c r="AG56" i="57"/>
  <c r="AH56" i="57"/>
  <c r="AM8" i="64"/>
  <c r="AM25" i="61"/>
  <c r="AM53" i="65"/>
  <c r="AM25" i="60"/>
  <c r="AH12" i="58"/>
  <c r="AG12" i="58"/>
  <c r="AM36" i="58"/>
  <c r="AM17" i="57"/>
  <c r="AH42" i="65"/>
  <c r="AG42" i="65"/>
  <c r="R13" i="64"/>
  <c r="O11" i="64"/>
  <c r="U10" i="64"/>
  <c r="V10" i="64" s="1"/>
  <c r="O12" i="64"/>
  <c r="R16" i="64" a="1"/>
  <c r="R16" i="64" s="1"/>
  <c r="R10" i="64"/>
  <c r="O8" i="64"/>
  <c r="O9" i="64"/>
  <c r="O16" i="64" a="1"/>
  <c r="O16" i="64" s="1"/>
  <c r="U16" i="64" a="1"/>
  <c r="U16" i="64" s="1"/>
  <c r="R9" i="64"/>
  <c r="U12" i="64"/>
  <c r="O10" i="64"/>
  <c r="U9" i="64"/>
  <c r="V9" i="64" s="1"/>
  <c r="U11" i="64"/>
  <c r="R11" i="64"/>
  <c r="S11" i="64" s="1"/>
  <c r="U13" i="64"/>
  <c r="V13" i="64" s="1"/>
  <c r="O13" i="64"/>
  <c r="AA13" i="64" s="1"/>
  <c r="U8" i="64"/>
  <c r="R12" i="64"/>
  <c r="AA12" i="64" s="1"/>
  <c r="R8" i="64"/>
  <c r="AG53" i="57"/>
  <c r="AH53" i="57"/>
  <c r="AH27" i="64"/>
  <c r="AG27" i="64"/>
  <c r="AM29" i="60"/>
  <c r="AM30" i="63"/>
  <c r="U9" i="58"/>
  <c r="V9" i="58" s="1"/>
  <c r="U12" i="58"/>
  <c r="R8" i="58"/>
  <c r="U10" i="58"/>
  <c r="U16" i="58" a="1"/>
  <c r="U16" i="58" s="1"/>
  <c r="O12" i="58"/>
  <c r="O8" i="58"/>
  <c r="R11" i="58"/>
  <c r="O10" i="58"/>
  <c r="U11" i="58"/>
  <c r="V11" i="58" s="1"/>
  <c r="O11" i="58"/>
  <c r="R12" i="58"/>
  <c r="R13" i="58"/>
  <c r="S13" i="58" s="1"/>
  <c r="R9" i="58"/>
  <c r="U8" i="58"/>
  <c r="O9" i="58"/>
  <c r="O16" i="58" a="1"/>
  <c r="O16" i="58" s="1"/>
  <c r="R10" i="58"/>
  <c r="O13" i="58"/>
  <c r="R16" i="58" a="1"/>
  <c r="R16" i="58" s="1"/>
  <c r="U13" i="58"/>
  <c r="V13" i="58" s="1"/>
  <c r="AG54" i="58"/>
  <c r="AH54" i="58"/>
  <c r="AM23" i="64"/>
  <c r="AM50" i="64"/>
  <c r="AM38" i="57"/>
  <c r="AM8" i="63"/>
  <c r="AM55" i="63"/>
  <c r="AH56" i="60"/>
  <c r="AG56" i="60"/>
  <c r="AM26" i="61"/>
  <c r="AM47" i="61"/>
  <c r="AM45" i="61"/>
  <c r="AM21" i="57"/>
  <c r="AG42" i="58"/>
  <c r="AH42" i="58"/>
  <c r="AM45" i="60"/>
  <c r="AM11" i="57"/>
  <c r="AG26" i="64"/>
  <c r="AH26" i="64"/>
  <c r="AM11" i="63"/>
  <c r="AM57" i="58"/>
  <c r="AM24" i="61"/>
  <c r="AM16" i="58"/>
  <c r="AH35" i="57"/>
  <c r="AG35" i="57"/>
  <c r="AM40" i="57"/>
  <c r="AM13" i="60"/>
  <c r="AG49" i="60"/>
  <c r="AH49" i="60"/>
  <c r="AH24" i="60"/>
  <c r="AG24" i="60"/>
  <c r="AG17" i="57"/>
  <c r="AH17" i="57"/>
  <c r="AM50" i="57"/>
  <c r="AM27" i="64"/>
  <c r="AM12" i="60"/>
  <c r="AG41" i="58"/>
  <c r="AH41" i="58"/>
  <c r="AM52" i="64"/>
  <c r="AM54" i="58"/>
  <c r="AH23" i="64"/>
  <c r="AG23" i="64"/>
  <c r="AH50" i="64"/>
  <c r="AG50" i="64"/>
  <c r="AG8" i="63"/>
  <c r="AH8" i="63"/>
  <c r="AG55" i="63"/>
  <c r="AH55" i="63"/>
  <c r="AG53" i="58"/>
  <c r="AH53" i="58"/>
  <c r="AM56" i="60"/>
  <c r="AG47" i="61"/>
  <c r="AH47" i="61"/>
  <c r="AG45" i="61"/>
  <c r="AH45" i="61"/>
  <c r="AG21" i="57"/>
  <c r="AH21" i="57"/>
  <c r="AG45" i="60"/>
  <c r="AH45" i="60"/>
  <c r="AH17" i="64"/>
  <c r="AG17" i="64"/>
  <c r="AG11" i="63"/>
  <c r="AH11" i="63"/>
  <c r="AM62" i="63"/>
  <c r="AH34" i="65"/>
  <c r="AG34" i="65"/>
  <c r="AH11" i="61"/>
  <c r="AG11" i="61"/>
  <c r="AM35" i="57"/>
  <c r="AM36" i="64"/>
  <c r="AH13" i="60"/>
  <c r="AG13" i="60"/>
  <c r="AM49" i="60"/>
  <c r="AM24" i="60"/>
  <c r="AA9" i="61"/>
  <c r="V8" i="60"/>
  <c r="AA11" i="60"/>
  <c r="AA12" i="60"/>
  <c r="V8" i="65"/>
  <c r="R5" i="66"/>
  <c r="S9" i="66"/>
  <c r="S12" i="66"/>
  <c r="S11" i="66"/>
  <c r="S14" i="66"/>
  <c r="S10" i="66"/>
  <c r="S8" i="66"/>
  <c r="S13" i="66"/>
  <c r="O14" i="65"/>
  <c r="AA8" i="65"/>
  <c r="V8" i="57"/>
  <c r="R14" i="65"/>
  <c r="AA9" i="65"/>
  <c r="BH54" i="85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AU11" i="7"/>
  <c r="V14" i="66" l="1"/>
  <c r="P10" i="66"/>
  <c r="P9" i="66"/>
  <c r="P12" i="66"/>
  <c r="P14" i="66"/>
  <c r="U14" i="65"/>
  <c r="V14" i="65" s="1"/>
  <c r="P8" i="66"/>
  <c r="AA10" i="61"/>
  <c r="AA14" i="66"/>
  <c r="AA8" i="64"/>
  <c r="AA12" i="61"/>
  <c r="AA8" i="60"/>
  <c r="AA14" i="60" s="1"/>
  <c r="AA13" i="60"/>
  <c r="AA11" i="63"/>
  <c r="R14" i="60"/>
  <c r="R14" i="57"/>
  <c r="S9" i="57" s="1"/>
  <c r="O14" i="60"/>
  <c r="P12" i="60" s="1"/>
  <c r="P11" i="66"/>
  <c r="AA11" i="65"/>
  <c r="AA13" i="65"/>
  <c r="AA9" i="57"/>
  <c r="U14" i="60"/>
  <c r="V14" i="60" s="1"/>
  <c r="AA10" i="65"/>
  <c r="AA10" i="58"/>
  <c r="AA9" i="58"/>
  <c r="R14" i="58"/>
  <c r="S14" i="58" s="1"/>
  <c r="R14" i="64"/>
  <c r="S14" i="64" s="1"/>
  <c r="U14" i="58"/>
  <c r="U5" i="58" s="1"/>
  <c r="AA8" i="58"/>
  <c r="AA11" i="64"/>
  <c r="AA10" i="57"/>
  <c r="AA14" i="57" s="1"/>
  <c r="AA11" i="57"/>
  <c r="V8" i="64"/>
  <c r="V8" i="58"/>
  <c r="U14" i="57"/>
  <c r="V10" i="57" s="1"/>
  <c r="AA13" i="61"/>
  <c r="AA12" i="63"/>
  <c r="O14" i="64"/>
  <c r="P10" i="64" s="1"/>
  <c r="O14" i="57"/>
  <c r="P14" i="57" s="1"/>
  <c r="U14" i="64"/>
  <c r="U5" i="64" s="1"/>
  <c r="AA12" i="58"/>
  <c r="AA9" i="63"/>
  <c r="V8" i="63"/>
  <c r="U14" i="63"/>
  <c r="P13" i="63"/>
  <c r="AA13" i="63"/>
  <c r="AA10" i="63"/>
  <c r="P13" i="64"/>
  <c r="AA9" i="64"/>
  <c r="AA10" i="64"/>
  <c r="O14" i="58"/>
  <c r="P8" i="58" s="1"/>
  <c r="AA13" i="58"/>
  <c r="AA11" i="58"/>
  <c r="AA13" i="57"/>
  <c r="O14" i="61"/>
  <c r="AA8" i="61"/>
  <c r="R14" i="63"/>
  <c r="AA12" i="65"/>
  <c r="R14" i="61"/>
  <c r="V8" i="61"/>
  <c r="U14" i="61"/>
  <c r="AA8" i="63"/>
  <c r="O14" i="63"/>
  <c r="S8" i="58"/>
  <c r="S9" i="58"/>
  <c r="R5" i="57"/>
  <c r="U5" i="60"/>
  <c r="S9" i="65"/>
  <c r="S8" i="65"/>
  <c r="S13" i="65"/>
  <c r="R5" i="65"/>
  <c r="S14" i="65"/>
  <c r="S12" i="65"/>
  <c r="S10" i="65"/>
  <c r="P14" i="65"/>
  <c r="P11" i="65"/>
  <c r="P9" i="65"/>
  <c r="O5" i="65"/>
  <c r="P10" i="65"/>
  <c r="P8" i="65"/>
  <c r="P12" i="65"/>
  <c r="O5" i="60"/>
  <c r="P13" i="60"/>
  <c r="P10" i="60"/>
  <c r="P14" i="60"/>
  <c r="P8" i="64"/>
  <c r="P11" i="64"/>
  <c r="V11" i="65"/>
  <c r="U5" i="65"/>
  <c r="V12" i="65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V12" i="58" l="1"/>
  <c r="O5" i="57"/>
  <c r="V10" i="58"/>
  <c r="V10" i="60"/>
  <c r="S12" i="58"/>
  <c r="R5" i="58"/>
  <c r="AA14" i="64"/>
  <c r="P9" i="60"/>
  <c r="P11" i="60"/>
  <c r="AA14" i="65"/>
  <c r="P8" i="60"/>
  <c r="AA14" i="58"/>
  <c r="S9" i="60"/>
  <c r="S14" i="60"/>
  <c r="S10" i="60"/>
  <c r="R5" i="60"/>
  <c r="O5" i="64"/>
  <c r="P9" i="57"/>
  <c r="V12" i="60"/>
  <c r="S13" i="64"/>
  <c r="S14" i="57"/>
  <c r="S11" i="57"/>
  <c r="U5" i="57"/>
  <c r="S11" i="58"/>
  <c r="S11" i="60"/>
  <c r="P12" i="57"/>
  <c r="S10" i="64"/>
  <c r="S10" i="57"/>
  <c r="S8" i="57"/>
  <c r="V12" i="57"/>
  <c r="S10" i="58"/>
  <c r="P13" i="57"/>
  <c r="S9" i="64"/>
  <c r="S12" i="57"/>
  <c r="S8" i="60"/>
  <c r="S12" i="60"/>
  <c r="O5" i="58"/>
  <c r="P11" i="57"/>
  <c r="V14" i="58"/>
  <c r="S12" i="64"/>
  <c r="R5" i="64"/>
  <c r="V11" i="64"/>
  <c r="P13" i="58"/>
  <c r="P9" i="58"/>
  <c r="P10" i="57"/>
  <c r="S8" i="64"/>
  <c r="V12" i="64"/>
  <c r="P12" i="64"/>
  <c r="V14" i="57"/>
  <c r="AA14" i="61"/>
  <c r="P14" i="64"/>
  <c r="P9" i="64"/>
  <c r="P11" i="58"/>
  <c r="P14" i="58"/>
  <c r="P10" i="61"/>
  <c r="P12" i="61"/>
  <c r="O5" i="61"/>
  <c r="P9" i="61"/>
  <c r="P8" i="61"/>
  <c r="P13" i="61"/>
  <c r="P14" i="61"/>
  <c r="P11" i="61"/>
  <c r="P8" i="57"/>
  <c r="V14" i="64"/>
  <c r="V11" i="61"/>
  <c r="U5" i="61"/>
  <c r="V12" i="61"/>
  <c r="V14" i="61"/>
  <c r="P8" i="63"/>
  <c r="P12" i="63"/>
  <c r="P10" i="63"/>
  <c r="P11" i="63"/>
  <c r="P14" i="63"/>
  <c r="O5" i="63"/>
  <c r="P9" i="63"/>
  <c r="AA14" i="63"/>
  <c r="S8" i="61"/>
  <c r="S10" i="61"/>
  <c r="S12" i="61"/>
  <c r="S11" i="61"/>
  <c r="R5" i="61"/>
  <c r="S9" i="61"/>
  <c r="S13" i="61"/>
  <c r="S14" i="61"/>
  <c r="P10" i="58"/>
  <c r="P12" i="58"/>
  <c r="V12" i="63"/>
  <c r="U5" i="63"/>
  <c r="V11" i="63"/>
  <c r="V14" i="63"/>
  <c r="S12" i="63"/>
  <c r="S14" i="63"/>
  <c r="S8" i="63"/>
  <c r="S13" i="63"/>
  <c r="S9" i="63"/>
  <c r="S10" i="63"/>
  <c r="R5" i="63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D59" i="85" l="1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J4" i="56"/>
  <c r="AJ2" i="56" s="1"/>
  <c r="G3" i="56"/>
  <c r="AK2" i="56"/>
  <c r="E2" i="56"/>
  <c r="E3" i="56" s="1"/>
  <c r="A1" i="56"/>
  <c r="G59" i="56"/>
  <c r="G15" i="56"/>
  <c r="AJ50" i="56"/>
  <c r="E6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61" i="56"/>
  <c r="G32" i="56"/>
  <c r="G28" i="56"/>
  <c r="AJ42" i="56"/>
  <c r="AJ12" i="56"/>
  <c r="AJ35" i="56"/>
  <c r="AJ14" i="56"/>
  <c r="AJ34" i="56"/>
  <c r="G16" i="56"/>
  <c r="G14" i="56"/>
  <c r="AJ28" i="56"/>
  <c r="AJ57" i="56"/>
  <c r="G15" i="55"/>
  <c r="AJ22" i="56"/>
  <c r="AJ11" i="56"/>
  <c r="G23" i="56"/>
  <c r="G11" i="56"/>
  <c r="AJ21" i="56"/>
  <c r="G41" i="56"/>
  <c r="G58" i="56"/>
  <c r="G19" i="56"/>
  <c r="AJ45" i="56"/>
  <c r="G48" i="56"/>
  <c r="AJ38" i="56"/>
  <c r="G39" i="56"/>
  <c r="AJ53" i="56"/>
  <c r="G54" i="56"/>
  <c r="G20" i="56"/>
  <c r="AJ24" i="56"/>
  <c r="AJ30" i="56"/>
  <c r="G55" i="56"/>
  <c r="G31" i="56"/>
  <c r="G24" i="56"/>
  <c r="G40" i="56"/>
  <c r="AJ52" i="56"/>
  <c r="AJ26" i="56"/>
  <c r="G45" i="56"/>
  <c r="AJ61" i="56"/>
  <c r="AJ20" i="56"/>
  <c r="AJ13" i="56"/>
  <c r="AJ54" i="56"/>
  <c r="AJ56" i="56"/>
  <c r="AJ58" i="56"/>
  <c r="AJ23" i="56"/>
  <c r="AJ9" i="56"/>
  <c r="G18" i="56"/>
  <c r="AJ19" i="56"/>
  <c r="AK50" i="56"/>
  <c r="G35" i="56"/>
  <c r="AJ17" i="56"/>
  <c r="AJ31" i="56"/>
  <c r="G25" i="56"/>
  <c r="G30" i="56"/>
  <c r="AJ67" i="56"/>
  <c r="G37" i="56"/>
  <c r="G21" i="56"/>
  <c r="AJ65" i="56"/>
  <c r="G53" i="56"/>
  <c r="G49" i="56"/>
  <c r="G51" i="56"/>
  <c r="G13" i="56"/>
  <c r="AJ33" i="56"/>
  <c r="G56" i="56"/>
  <c r="AJ60" i="56"/>
  <c r="G34" i="56"/>
  <c r="AJ36" i="56"/>
  <c r="AJ29" i="56"/>
  <c r="AJ8" i="56"/>
  <c r="AL50" i="56"/>
  <c r="AJ46" i="56"/>
  <c r="AJ63" i="56"/>
  <c r="AJ55" i="56"/>
  <c r="E6" i="55"/>
  <c r="AJ18" i="56"/>
  <c r="AJ64" i="56"/>
  <c r="AJ7" i="56"/>
  <c r="G44" i="56"/>
  <c r="G9" i="56"/>
  <c r="AJ25" i="56"/>
  <c r="AJ49" i="56"/>
  <c r="AJ59" i="56"/>
  <c r="G46" i="56"/>
  <c r="AJ27" i="56"/>
  <c r="G52" i="56"/>
  <c r="AJ51" i="56"/>
  <c r="G27" i="56"/>
  <c r="G50" i="56"/>
  <c r="G36" i="56"/>
  <c r="G12" i="56"/>
  <c r="G38" i="56"/>
  <c r="AJ66" i="56"/>
  <c r="AJ41" i="56"/>
  <c r="G58" i="55"/>
  <c r="G22" i="56"/>
  <c r="G10" i="56"/>
  <c r="G26" i="56"/>
  <c r="AJ39" i="56"/>
  <c r="G7" i="56"/>
  <c r="AJ10" i="56"/>
  <c r="G29" i="56"/>
  <c r="AJ15" i="56"/>
  <c r="AJ44" i="56"/>
  <c r="G8" i="56"/>
  <c r="G47" i="56"/>
  <c r="AJ62" i="56"/>
  <c r="E15" i="56"/>
  <c r="AJ48" i="56"/>
  <c r="G62" i="56"/>
  <c r="AJ47" i="56"/>
  <c r="AJ40" i="56"/>
  <c r="AJ32" i="56"/>
  <c r="AJ37" i="56"/>
  <c r="AJ43" i="56"/>
  <c r="G33" i="56"/>
  <c r="AJ16" i="56"/>
  <c r="G17" i="56"/>
  <c r="G42" i="56"/>
  <c r="G43" i="56"/>
  <c r="AJ12" i="55"/>
  <c r="G5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E19" i="56"/>
  <c r="E27" i="56"/>
  <c r="G62" i="55"/>
  <c r="AJ11" i="55"/>
  <c r="E10" i="56"/>
  <c r="E49" i="56"/>
  <c r="AJ15" i="55"/>
  <c r="AJ35" i="55"/>
  <c r="G22" i="55"/>
  <c r="E22" i="56"/>
  <c r="G7" i="55"/>
  <c r="AJ24" i="55"/>
  <c r="AJ9" i="55"/>
  <c r="AJ13" i="55"/>
  <c r="AJ16" i="55"/>
  <c r="AJ26" i="55"/>
  <c r="E33" i="56"/>
  <c r="AJ33" i="55"/>
  <c r="G48" i="55"/>
  <c r="AJ30" i="55"/>
  <c r="E12" i="56"/>
  <c r="AJ34" i="55"/>
  <c r="G52" i="55"/>
  <c r="AJ8" i="55"/>
  <c r="E17" i="56"/>
  <c r="E25" i="56"/>
  <c r="E9" i="56"/>
  <c r="G17" i="55"/>
  <c r="AJ28" i="55"/>
  <c r="E8" i="56"/>
  <c r="AJ7" i="55"/>
  <c r="AJ18" i="55"/>
  <c r="AJ14" i="55"/>
  <c r="E11" i="56"/>
  <c r="E7" i="56"/>
  <c r="G20" i="55"/>
  <c r="AJ10" i="55"/>
  <c r="AJ32" i="55"/>
  <c r="AJ21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J12" i="54"/>
  <c r="AJ23" i="54"/>
  <c r="E57" i="56"/>
  <c r="AK15" i="55"/>
  <c r="AK39" i="56"/>
  <c r="AK19" i="56"/>
  <c r="AL56" i="56"/>
  <c r="AJ55" i="54"/>
  <c r="AJ26" i="54"/>
  <c r="AK41" i="56"/>
  <c r="G56" i="55"/>
  <c r="AJ30" i="54"/>
  <c r="G46" i="55"/>
  <c r="AK46" i="56"/>
  <c r="AL40" i="56"/>
  <c r="G10" i="55"/>
  <c r="E31" i="56"/>
  <c r="AK42" i="56"/>
  <c r="AL11" i="56"/>
  <c r="AJ54" i="55"/>
  <c r="AK8" i="56"/>
  <c r="AJ37" i="54"/>
  <c r="AL8" i="56"/>
  <c r="AJ39" i="55"/>
  <c r="G20" i="54"/>
  <c r="AJ45" i="55"/>
  <c r="G51" i="54"/>
  <c r="AK11" i="55"/>
  <c r="AL29" i="56"/>
  <c r="G32" i="54"/>
  <c r="AJ46" i="54"/>
  <c r="AJ32" i="54"/>
  <c r="AL35" i="56"/>
  <c r="AJ65" i="55"/>
  <c r="G53" i="55"/>
  <c r="AJ47" i="55"/>
  <c r="AK48" i="56"/>
  <c r="AL7" i="56"/>
  <c r="AJ40" i="54"/>
  <c r="AK24" i="55"/>
  <c r="AL16" i="55"/>
  <c r="G18" i="54"/>
  <c r="AK16" i="56"/>
  <c r="AL23" i="56"/>
  <c r="AJ45" i="54"/>
  <c r="G11" i="54"/>
  <c r="G17" i="54"/>
  <c r="G55" i="54"/>
  <c r="AK14" i="56"/>
  <c r="G37" i="54"/>
  <c r="AJ58" i="55"/>
  <c r="AJ50" i="55"/>
  <c r="AK36" i="56"/>
  <c r="AL41" i="56"/>
  <c r="AJ53" i="54"/>
  <c r="AJ44" i="55"/>
  <c r="AJ20" i="54"/>
  <c r="AJ52" i="54"/>
  <c r="G40" i="54"/>
  <c r="AL37" i="56"/>
  <c r="AK26" i="56"/>
  <c r="AK21" i="56"/>
  <c r="AJ49" i="55"/>
  <c r="AL20" i="56"/>
  <c r="E15" i="55"/>
  <c r="AJ67" i="54"/>
  <c r="AK12" i="55"/>
  <c r="AJ66" i="54"/>
  <c r="E42" i="56"/>
  <c r="G39" i="54"/>
  <c r="AL44" i="56"/>
  <c r="AK61" i="56"/>
  <c r="AK7" i="55"/>
  <c r="E40" i="56"/>
  <c r="E6" i="54"/>
  <c r="AL26" i="55"/>
  <c r="G45" i="54"/>
  <c r="AK45" i="56"/>
  <c r="AL18" i="55"/>
  <c r="AK21" i="55"/>
  <c r="G33" i="54"/>
  <c r="G47" i="54"/>
  <c r="AJ13" i="54"/>
  <c r="AK29" i="56"/>
  <c r="AK11" i="56"/>
  <c r="G16" i="55"/>
  <c r="G36" i="54"/>
  <c r="G27" i="54"/>
  <c r="AL14" i="55"/>
  <c r="AJ67" i="55"/>
  <c r="AK9" i="56"/>
  <c r="G23" i="55"/>
  <c r="G34" i="54"/>
  <c r="G30" i="54"/>
  <c r="E52" i="55"/>
  <c r="G64" i="54"/>
  <c r="E28" i="56"/>
  <c r="E54" i="56"/>
  <c r="AL13" i="55"/>
  <c r="AL30" i="55"/>
  <c r="AJ43" i="54"/>
  <c r="E32" i="56"/>
  <c r="AJ51" i="55"/>
  <c r="AL18" i="56"/>
  <c r="AJ43" i="55"/>
  <c r="AL12" i="55"/>
  <c r="G48" i="54"/>
  <c r="G8" i="54"/>
  <c r="AL28" i="55"/>
  <c r="AK34" i="55"/>
  <c r="AL57" i="56"/>
  <c r="AJ25" i="54"/>
  <c r="E56" i="56"/>
  <c r="G30" i="55"/>
  <c r="AK18" i="56"/>
  <c r="AK25" i="56"/>
  <c r="G12" i="54"/>
  <c r="E35" i="56"/>
  <c r="G26" i="54"/>
  <c r="AK37" i="56"/>
  <c r="AK15" i="56"/>
  <c r="AL34" i="55"/>
  <c r="AL15" i="55"/>
  <c r="G28" i="54"/>
  <c r="G29" i="54"/>
  <c r="G36" i="55"/>
  <c r="AK27" i="56"/>
  <c r="G38" i="54"/>
  <c r="AJ10" i="54"/>
  <c r="AJ25" i="55"/>
  <c r="AJ63" i="54"/>
  <c r="AL39" i="56"/>
  <c r="G44" i="54"/>
  <c r="AL10" i="55"/>
  <c r="E23" i="56"/>
  <c r="E41" i="56"/>
  <c r="AJ34" i="54"/>
  <c r="AL49" i="56"/>
  <c r="E14" i="56"/>
  <c r="G61" i="54"/>
  <c r="AK56" i="56"/>
  <c r="G24" i="54"/>
  <c r="G24" i="55"/>
  <c r="G9" i="54"/>
  <c r="E13" i="56"/>
  <c r="AL24" i="56"/>
  <c r="E45" i="56"/>
  <c r="G19" i="55"/>
  <c r="AK43" i="56"/>
  <c r="AK51" i="56"/>
  <c r="AL34" i="56"/>
  <c r="AL32" i="55"/>
  <c r="AL12" i="56"/>
  <c r="G54" i="54"/>
  <c r="AJ29" i="54"/>
  <c r="G13" i="55"/>
  <c r="G33" i="55"/>
  <c r="AL32" i="56"/>
  <c r="AK44" i="56"/>
  <c r="AJ24" i="54"/>
  <c r="AJ31" i="54"/>
  <c r="AL8" i="55"/>
  <c r="AJ54" i="54"/>
  <c r="AJ17" i="55"/>
  <c r="E20" i="56"/>
  <c r="AJ16" i="54"/>
  <c r="E21" i="56"/>
  <c r="G27" i="55"/>
  <c r="G7" i="54"/>
  <c r="AL62" i="56"/>
  <c r="G29" i="55"/>
  <c r="G61" i="55"/>
  <c r="E52" i="56"/>
  <c r="AL48" i="56"/>
  <c r="E39" i="56"/>
  <c r="AL16" i="56"/>
  <c r="AJ55" i="55"/>
  <c r="E16" i="56"/>
  <c r="AL47" i="56"/>
  <c r="E62" i="56"/>
  <c r="E61" i="56"/>
  <c r="AJ40" i="55"/>
  <c r="AL21" i="55"/>
  <c r="G46" i="54"/>
  <c r="AK53" i="56"/>
  <c r="G62" i="54"/>
  <c r="AK8" i="55"/>
  <c r="AJ35" i="54"/>
  <c r="AJ38" i="54"/>
  <c r="G47" i="55"/>
  <c r="AJ19" i="55"/>
  <c r="AK14" i="55"/>
  <c r="G54" i="55"/>
  <c r="AL10" i="56"/>
  <c r="AK12" i="56"/>
  <c r="AJ60" i="55"/>
  <c r="G23" i="54"/>
  <c r="AJ44" i="54"/>
  <c r="AK55" i="56"/>
  <c r="G14" i="55"/>
  <c r="AL9" i="56"/>
  <c r="G16" i="54"/>
  <c r="G38" i="55"/>
  <c r="G21" i="55"/>
  <c r="AJ56" i="55"/>
  <c r="AJ27" i="55"/>
  <c r="AJ17" i="54"/>
  <c r="AK7" i="56"/>
  <c r="E24" i="56"/>
  <c r="AJ60" i="54"/>
  <c r="G55" i="55"/>
  <c r="AL55" i="56"/>
  <c r="E53" i="56"/>
  <c r="AJ61" i="55"/>
  <c r="AL13" i="56"/>
  <c r="G42" i="54"/>
  <c r="AL11" i="55"/>
  <c r="AK47" i="56"/>
  <c r="AL33" i="56"/>
  <c r="AK10" i="55"/>
  <c r="G57" i="54"/>
  <c r="AK32" i="55"/>
  <c r="AJ49" i="54"/>
  <c r="G43" i="54"/>
  <c r="AJ57" i="54"/>
  <c r="AL27" i="56"/>
  <c r="AK24" i="56"/>
  <c r="AK38" i="56"/>
  <c r="AK54" i="56"/>
  <c r="AK62" i="56"/>
  <c r="AJ64" i="54"/>
  <c r="AL28" i="56"/>
  <c r="G42" i="55"/>
  <c r="G56" i="54"/>
  <c r="AK26" i="55"/>
  <c r="AL19" i="56"/>
  <c r="AK18" i="55"/>
  <c r="G63" i="54"/>
  <c r="AK33" i="55"/>
  <c r="G10" i="54"/>
  <c r="E20" i="55"/>
  <c r="AK23" i="56"/>
  <c r="G28" i="55"/>
  <c r="AL43" i="56"/>
  <c r="AK16" i="55"/>
  <c r="G15" i="54"/>
  <c r="G44" i="55"/>
  <c r="G41" i="55"/>
  <c r="AJ58" i="54"/>
  <c r="G52" i="54"/>
  <c r="AJ36" i="55"/>
  <c r="AL61" i="56"/>
  <c r="AJ59" i="54"/>
  <c r="G50" i="54"/>
  <c r="E17" i="55"/>
  <c r="AJ62" i="55"/>
  <c r="E34" i="56"/>
  <c r="G45" i="55"/>
  <c r="AK30" i="55"/>
  <c r="AK34" i="56"/>
  <c r="AJ41" i="55"/>
  <c r="AJ50" i="54"/>
  <c r="E58" i="56"/>
  <c r="AJ56" i="54"/>
  <c r="AL51" i="56"/>
  <c r="AL46" i="56"/>
  <c r="AL53" i="56"/>
  <c r="G13" i="54"/>
  <c r="AK40" i="56"/>
  <c r="AL9" i="55"/>
  <c r="AL7" i="55"/>
  <c r="AJ61" i="54"/>
  <c r="E26" i="56"/>
  <c r="AK28" i="55"/>
  <c r="G35" i="55"/>
  <c r="AK20" i="56"/>
  <c r="G50" i="55"/>
  <c r="E43" i="56"/>
  <c r="AJ8" i="54"/>
  <c r="AL21" i="56"/>
  <c r="AJ62" i="54"/>
  <c r="AJ47" i="54"/>
  <c r="AL15" i="56"/>
  <c r="AL54" i="56"/>
  <c r="AK13" i="56"/>
  <c r="AJ65" i="54"/>
  <c r="AJ29" i="55"/>
  <c r="E48" i="56"/>
  <c r="AL33" i="55"/>
  <c r="AJ38" i="55"/>
  <c r="G22" i="54"/>
  <c r="G25" i="54"/>
  <c r="AL22" i="56"/>
  <c r="G39" i="55"/>
  <c r="AL26" i="56"/>
  <c r="E36" i="56"/>
  <c r="AJ41" i="54"/>
  <c r="G40" i="55"/>
  <c r="AJ19" i="54"/>
  <c r="AK57" i="56"/>
  <c r="AJ36" i="54"/>
  <c r="AL42" i="56"/>
  <c r="AJ28" i="54"/>
  <c r="AJ15" i="54"/>
  <c r="G34" i="55"/>
  <c r="AJ51" i="54"/>
  <c r="G18" i="55"/>
  <c r="G31" i="55"/>
  <c r="AJ37" i="55"/>
  <c r="AK28" i="56"/>
  <c r="AK17" i="56"/>
  <c r="AL31" i="56"/>
  <c r="E51" i="56"/>
  <c r="AJ42" i="55"/>
  <c r="G51" i="55"/>
  <c r="E30" i="56"/>
  <c r="AK31" i="56"/>
  <c r="AJ20" i="55"/>
  <c r="G53" i="54"/>
  <c r="AJ39" i="54"/>
  <c r="AJ27" i="54"/>
  <c r="AL30" i="56"/>
  <c r="AJ22" i="54"/>
  <c r="E47" i="56"/>
  <c r="AJ52" i="55"/>
  <c r="AL25" i="56"/>
  <c r="AK35" i="56"/>
  <c r="E38" i="56"/>
  <c r="G35" i="54"/>
  <c r="AJ66" i="55"/>
  <c r="G57" i="55"/>
  <c r="AJ64" i="55"/>
  <c r="AK10" i="56"/>
  <c r="E55" i="56"/>
  <c r="AJ31" i="55"/>
  <c r="AK30" i="56"/>
  <c r="AK22" i="56"/>
  <c r="E29" i="56"/>
  <c r="G8" i="55"/>
  <c r="AJ46" i="55"/>
  <c r="AJ48" i="55"/>
  <c r="E44" i="56"/>
  <c r="AJ23" i="55"/>
  <c r="AJ53" i="55"/>
  <c r="G9" i="55"/>
  <c r="AK13" i="55"/>
  <c r="G49" i="55"/>
  <c r="E48" i="55"/>
  <c r="G21" i="54"/>
  <c r="G25" i="55"/>
  <c r="AJ21" i="54"/>
  <c r="E46" i="56"/>
  <c r="AJ7" i="54"/>
  <c r="AJ9" i="54"/>
  <c r="AK9" i="55"/>
  <c r="AK58" i="56"/>
  <c r="AK49" i="56"/>
  <c r="AJ33" i="54"/>
  <c r="AL24" i="55"/>
  <c r="AJ59" i="55"/>
  <c r="AK33" i="56"/>
  <c r="G14" i="54"/>
  <c r="E62" i="55"/>
  <c r="AL36" i="56"/>
  <c r="E18" i="56"/>
  <c r="G37" i="55"/>
  <c r="AJ42" i="54"/>
  <c r="G43" i="55"/>
  <c r="AK32" i="56"/>
  <c r="G32" i="55"/>
  <c r="G12" i="55"/>
  <c r="AL58" i="56"/>
  <c r="AL52" i="56"/>
  <c r="AJ14" i="54"/>
  <c r="AL14" i="56"/>
  <c r="AL45" i="56"/>
  <c r="AJ11" i="54"/>
  <c r="AJ18" i="54"/>
  <c r="G49" i="54"/>
  <c r="G11" i="55"/>
  <c r="AK52" i="56"/>
  <c r="AJ22" i="55"/>
  <c r="AJ57" i="55"/>
  <c r="E22" i="55"/>
  <c r="E58" i="55"/>
  <c r="AL17" i="56"/>
  <c r="G41" i="54"/>
  <c r="AJ63" i="55"/>
  <c r="G26" i="55"/>
  <c r="G19" i="54"/>
  <c r="E37" i="56"/>
  <c r="G31" i="54"/>
  <c r="E7" i="55"/>
  <c r="AL38" i="56"/>
  <c r="E50" i="56"/>
  <c r="AJ48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Y31" i="7"/>
  <c r="BY21" i="7"/>
  <c r="BY11" i="7"/>
  <c r="BY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64" i="54"/>
  <c r="E10" i="54"/>
  <c r="AL42" i="55"/>
  <c r="AL57" i="55"/>
  <c r="E14" i="55"/>
  <c r="E53" i="54"/>
  <c r="AL40" i="55"/>
  <c r="AL56" i="55"/>
  <c r="E26" i="55"/>
  <c r="AK14" i="54"/>
  <c r="AK31" i="54"/>
  <c r="AL36" i="55"/>
  <c r="E30" i="55"/>
  <c r="E9" i="55"/>
  <c r="E45" i="55"/>
  <c r="AK58" i="55"/>
  <c r="AL61" i="55"/>
  <c r="E43" i="54"/>
  <c r="AK27" i="54"/>
  <c r="AL39" i="55"/>
  <c r="AK43" i="55"/>
  <c r="E41" i="54"/>
  <c r="E33" i="55"/>
  <c r="AK23" i="55"/>
  <c r="AL61" i="54"/>
  <c r="E24" i="55"/>
  <c r="AK29" i="54"/>
  <c r="E6" i="52"/>
  <c r="AL19" i="55"/>
  <c r="E61" i="54"/>
  <c r="E21" i="54"/>
  <c r="AL23" i="54"/>
  <c r="AK61" i="54"/>
  <c r="E46" i="55"/>
  <c r="AK20" i="54"/>
  <c r="AK50" i="55"/>
  <c r="AL50" i="54"/>
  <c r="AL13" i="54"/>
  <c r="E23" i="54"/>
  <c r="E29" i="55"/>
  <c r="E47" i="55"/>
  <c r="AL35" i="54"/>
  <c r="E29" i="54"/>
  <c r="E20" i="54"/>
  <c r="E36" i="54"/>
  <c r="AL48" i="54"/>
  <c r="AK42" i="55"/>
  <c r="AL25" i="55"/>
  <c r="AK57" i="55"/>
  <c r="AK38" i="55"/>
  <c r="E46" i="54"/>
  <c r="AL21" i="54"/>
  <c r="E28" i="54"/>
  <c r="E42" i="55"/>
  <c r="AL12" i="54"/>
  <c r="AK19" i="54"/>
  <c r="AL36" i="54"/>
  <c r="AL64" i="54"/>
  <c r="E57" i="54"/>
  <c r="AK42" i="54"/>
  <c r="E7" i="54"/>
  <c r="E32" i="55"/>
  <c r="E36" i="55"/>
  <c r="E55" i="54"/>
  <c r="E14" i="54"/>
  <c r="AK39" i="54"/>
  <c r="AJ9" i="52"/>
  <c r="E22" i="54"/>
  <c r="E45" i="54"/>
  <c r="AK7" i="54"/>
  <c r="AL29" i="54"/>
  <c r="AK20" i="55"/>
  <c r="E10" i="55"/>
  <c r="AK49" i="54"/>
  <c r="AL22" i="54"/>
  <c r="AL23" i="55"/>
  <c r="E56" i="55"/>
  <c r="AL49" i="55"/>
  <c r="E48" i="54"/>
  <c r="AK27" i="55"/>
  <c r="AK56" i="54"/>
  <c r="E12" i="55"/>
  <c r="E54" i="55"/>
  <c r="AL52" i="54"/>
  <c r="AK41" i="55"/>
  <c r="E54" i="54"/>
  <c r="E51" i="54"/>
  <c r="AL26" i="54"/>
  <c r="AL31" i="55"/>
  <c r="AL30" i="54"/>
  <c r="E15" i="54"/>
  <c r="E44" i="54"/>
  <c r="E19" i="54"/>
  <c r="E26" i="54"/>
  <c r="AL15" i="54"/>
  <c r="E55" i="55"/>
  <c r="AL11" i="54"/>
  <c r="E27" i="54"/>
  <c r="E25" i="55"/>
  <c r="E35" i="55"/>
  <c r="AL10" i="54"/>
  <c r="E8" i="54"/>
  <c r="AL48" i="55"/>
  <c r="E34" i="54"/>
  <c r="AK51" i="55"/>
  <c r="AL7" i="54"/>
  <c r="AL44" i="54"/>
  <c r="AL25" i="54"/>
  <c r="E27" i="55"/>
  <c r="E50" i="55"/>
  <c r="E34" i="55"/>
  <c r="AK32" i="54"/>
  <c r="AK15" i="54"/>
  <c r="E13" i="55"/>
  <c r="AK11" i="54"/>
  <c r="E64" i="54"/>
  <c r="AL43" i="54"/>
  <c r="AL34" i="54"/>
  <c r="E21" i="55"/>
  <c r="AL18" i="54"/>
  <c r="AL27" i="55"/>
  <c r="AK13" i="54"/>
  <c r="E42" i="54"/>
  <c r="E25" i="54"/>
  <c r="AK22" i="55"/>
  <c r="AK56" i="55"/>
  <c r="AK63" i="54"/>
  <c r="AK57" i="54"/>
  <c r="E52" i="54"/>
  <c r="AK47" i="54"/>
  <c r="AL46" i="55"/>
  <c r="AL19" i="54"/>
  <c r="E17" i="54"/>
  <c r="E37" i="54"/>
  <c r="AK35" i="54"/>
  <c r="E38" i="54"/>
  <c r="AL56" i="54"/>
  <c r="AL54" i="54"/>
  <c r="AK44" i="55"/>
  <c r="AK62" i="55"/>
  <c r="AL49" i="54"/>
  <c r="AL22" i="55"/>
  <c r="E33" i="54"/>
  <c r="AL33" i="54"/>
  <c r="E12" i="54"/>
  <c r="E24" i="54"/>
  <c r="AK29" i="55"/>
  <c r="AL46" i="54"/>
  <c r="AK48" i="55"/>
  <c r="AK55" i="55"/>
  <c r="AL47" i="55"/>
  <c r="AL8" i="54"/>
  <c r="AK34" i="54"/>
  <c r="AL42" i="54"/>
  <c r="AL57" i="54"/>
  <c r="E31" i="54"/>
  <c r="E28" i="55"/>
  <c r="E53" i="55"/>
  <c r="E8" i="55"/>
  <c r="AL53" i="55"/>
  <c r="AL53" i="54"/>
  <c r="AK22" i="54"/>
  <c r="E31" i="55"/>
  <c r="AK46" i="55"/>
  <c r="E35" i="54"/>
  <c r="AL43" i="55"/>
  <c r="AL50" i="55"/>
  <c r="AL24" i="54"/>
  <c r="AL20" i="55"/>
  <c r="AL41" i="54"/>
  <c r="AK41" i="54"/>
  <c r="AK52" i="54"/>
  <c r="AL55" i="54"/>
  <c r="AK51" i="54"/>
  <c r="E18" i="54"/>
  <c r="AK46" i="54"/>
  <c r="AK61" i="55"/>
  <c r="AK45" i="54"/>
  <c r="AL37" i="55"/>
  <c r="AL58" i="55"/>
  <c r="AK30" i="54"/>
  <c r="AJ57" i="52"/>
  <c r="AL14" i="54"/>
  <c r="AK25" i="55"/>
  <c r="AK36" i="55"/>
  <c r="AL63" i="54"/>
  <c r="E41" i="55"/>
  <c r="AK12" i="54"/>
  <c r="AK40" i="55"/>
  <c r="AK16" i="54"/>
  <c r="AK24" i="54"/>
  <c r="AK49" i="55"/>
  <c r="E13" i="54"/>
  <c r="AK43" i="54"/>
  <c r="E11" i="55"/>
  <c r="AK45" i="55"/>
  <c r="E30" i="54"/>
  <c r="AK50" i="54"/>
  <c r="E18" i="55"/>
  <c r="AK9" i="54"/>
  <c r="E49" i="54"/>
  <c r="AK54" i="54"/>
  <c r="E23" i="55"/>
  <c r="AL32" i="54"/>
  <c r="AK48" i="54"/>
  <c r="E57" i="55"/>
  <c r="AK10" i="54"/>
  <c r="AL44" i="55"/>
  <c r="G61" i="52"/>
  <c r="E32" i="54"/>
  <c r="E56" i="54"/>
  <c r="AL16" i="54"/>
  <c r="AL37" i="54"/>
  <c r="AK17" i="54"/>
  <c r="AL47" i="54"/>
  <c r="AL29" i="55"/>
  <c r="E43" i="55"/>
  <c r="AK18" i="54"/>
  <c r="AL62" i="55"/>
  <c r="AL51" i="55"/>
  <c r="AK36" i="54"/>
  <c r="E40" i="55"/>
  <c r="AK53" i="55"/>
  <c r="E40" i="54"/>
  <c r="AK39" i="55"/>
  <c r="AL9" i="54"/>
  <c r="AL17" i="55"/>
  <c r="AL39" i="54"/>
  <c r="AK21" i="54"/>
  <c r="AL41" i="55"/>
  <c r="AL27" i="54"/>
  <c r="AK37" i="55"/>
  <c r="E16" i="55"/>
  <c r="E39" i="55"/>
  <c r="AK23" i="54"/>
  <c r="AL38" i="54"/>
  <c r="AK38" i="54"/>
  <c r="AL51" i="54"/>
  <c r="AL28" i="54"/>
  <c r="AK28" i="54"/>
  <c r="E51" i="55"/>
  <c r="E63" i="54"/>
  <c r="E62" i="54"/>
  <c r="AK17" i="55"/>
  <c r="AK47" i="55"/>
  <c r="E61" i="55"/>
  <c r="AL40" i="54"/>
  <c r="AK53" i="54"/>
  <c r="AK44" i="54"/>
  <c r="E44" i="55"/>
  <c r="E50" i="54"/>
  <c r="AK62" i="54"/>
  <c r="AK37" i="54"/>
  <c r="AL62" i="54"/>
  <c r="AK26" i="54"/>
  <c r="AK55" i="54"/>
  <c r="AK31" i="55"/>
  <c r="AK8" i="54"/>
  <c r="AK25" i="54"/>
  <c r="AL54" i="55"/>
  <c r="AJ50" i="52"/>
  <c r="E47" i="54"/>
  <c r="AK54" i="55"/>
  <c r="E11" i="54"/>
  <c r="AK19" i="55"/>
  <c r="AK40" i="54"/>
  <c r="E49" i="55"/>
  <c r="AL31" i="54"/>
  <c r="AL45" i="55"/>
  <c r="AL20" i="54"/>
  <c r="AL38" i="55"/>
  <c r="AL55" i="55"/>
  <c r="AL52" i="55"/>
  <c r="AL45" i="54"/>
  <c r="E19" i="55"/>
  <c r="AK33" i="54"/>
  <c r="E37" i="55"/>
  <c r="E39" i="54"/>
  <c r="E38" i="55"/>
  <c r="AK52" i="55"/>
  <c r="E9" i="54"/>
  <c r="E16" i="54"/>
  <c r="AL17" i="54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37" i="52"/>
  <c r="AJ8" i="52"/>
  <c r="G25" i="52"/>
  <c r="AJ14" i="52"/>
  <c r="G18" i="52"/>
  <c r="G44" i="52"/>
  <c r="G41" i="52"/>
  <c r="AJ30" i="52"/>
  <c r="E61" i="52"/>
  <c r="AJ43" i="52"/>
  <c r="AJ36" i="52"/>
  <c r="G31" i="52"/>
  <c r="AJ42" i="52"/>
  <c r="AJ31" i="52"/>
  <c r="AJ17" i="52"/>
  <c r="AJ61" i="52"/>
  <c r="AJ38" i="52"/>
  <c r="AJ40" i="52"/>
  <c r="AJ15" i="52"/>
  <c r="AJ22" i="52"/>
  <c r="AJ29" i="52"/>
  <c r="AJ25" i="52"/>
  <c r="G11" i="52"/>
  <c r="AJ7" i="52"/>
  <c r="G22" i="52"/>
  <c r="AJ51" i="52"/>
  <c r="AJ20" i="52"/>
  <c r="G55" i="52"/>
  <c r="G15" i="51"/>
  <c r="AJ19" i="52"/>
  <c r="G39" i="52"/>
  <c r="AJ27" i="52"/>
  <c r="AJ13" i="52"/>
  <c r="AJ46" i="52"/>
  <c r="G37" i="52"/>
  <c r="G57" i="52"/>
  <c r="AJ54" i="52"/>
  <c r="G13" i="52"/>
  <c r="G40" i="52"/>
  <c r="AJ48" i="52"/>
  <c r="G9" i="52"/>
  <c r="G23" i="52"/>
  <c r="G29" i="52"/>
  <c r="AJ18" i="52"/>
  <c r="AJ58" i="52"/>
  <c r="G16" i="52"/>
  <c r="G62" i="52"/>
  <c r="G53" i="52"/>
  <c r="AJ34" i="52"/>
  <c r="AJ60" i="52"/>
  <c r="G32" i="52"/>
  <c r="AJ49" i="52"/>
  <c r="AJ24" i="52"/>
  <c r="AJ53" i="52"/>
  <c r="G20" i="52"/>
  <c r="G17" i="52"/>
  <c r="AJ28" i="52"/>
  <c r="G8" i="52"/>
  <c r="G42" i="52"/>
  <c r="G49" i="52"/>
  <c r="G34" i="52"/>
  <c r="AJ39" i="52"/>
  <c r="G30" i="52"/>
  <c r="AJ10" i="52"/>
  <c r="AJ56" i="52"/>
  <c r="G47" i="52"/>
  <c r="AJ23" i="52"/>
  <c r="AJ11" i="52"/>
  <c r="AJ55" i="52"/>
  <c r="G7" i="52"/>
  <c r="AJ66" i="52"/>
  <c r="G63" i="52"/>
  <c r="G14" i="52"/>
  <c r="G48" i="52"/>
  <c r="G38" i="52"/>
  <c r="AJ41" i="52"/>
  <c r="G19" i="52"/>
  <c r="AJ32" i="52"/>
  <c r="G35" i="52"/>
  <c r="G12" i="52"/>
  <c r="G26" i="52"/>
  <c r="AJ45" i="52"/>
  <c r="AJ16" i="52"/>
  <c r="G54" i="52"/>
  <c r="G43" i="52"/>
  <c r="G50" i="52"/>
  <c r="G52" i="52"/>
  <c r="G33" i="52"/>
  <c r="G56" i="52"/>
  <c r="AJ63" i="52"/>
  <c r="AJ64" i="52"/>
  <c r="AJ59" i="52"/>
  <c r="G24" i="52"/>
  <c r="AJ12" i="52"/>
  <c r="G36" i="52"/>
  <c r="G12" i="51"/>
  <c r="G10" i="52"/>
  <c r="G46" i="52"/>
  <c r="G28" i="52"/>
  <c r="G15" i="52"/>
  <c r="AJ33" i="52"/>
  <c r="AJ47" i="52"/>
  <c r="AJ26" i="52"/>
  <c r="AJ35" i="52"/>
  <c r="AJ62" i="52"/>
  <c r="G51" i="52"/>
  <c r="AJ44" i="52"/>
  <c r="AJ65" i="52"/>
  <c r="G64" i="52"/>
  <c r="AJ21" i="52"/>
  <c r="G45" i="52"/>
  <c r="AJ52" i="52"/>
  <c r="AJ67" i="52"/>
  <c r="G21" i="52"/>
  <c r="G27" i="52"/>
  <c r="AO11" i="7"/>
  <c r="V12" i="56" l="1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3" i="52"/>
  <c r="E62" i="52"/>
  <c r="AK11" i="52"/>
  <c r="G7" i="51"/>
  <c r="AL11" i="52"/>
  <c r="E10" i="52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U7" i="7"/>
  <c r="BS7" i="7"/>
  <c r="BR32" i="7"/>
  <c r="BU31" i="7"/>
  <c r="BS31" i="7"/>
  <c r="BQ21" i="7"/>
  <c r="BR22" i="7"/>
  <c r="BU21" i="7"/>
  <c r="BS21" i="7"/>
  <c r="BU11" i="7"/>
  <c r="BS11" i="7"/>
  <c r="BR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M21" i="7"/>
  <c r="BG21" i="7"/>
  <c r="BJ21" i="7"/>
  <c r="BA21" i="7"/>
  <c r="AU21" i="7"/>
  <c r="CI12" i="7" l="1"/>
  <c r="CM12" i="7"/>
  <c r="CI22" i="7"/>
  <c r="CM22" i="7"/>
  <c r="CI32" i="7"/>
  <c r="CM32" i="7"/>
  <c r="CG12" i="7"/>
  <c r="CK12" i="7"/>
  <c r="CG22" i="7"/>
  <c r="CK22" i="7"/>
  <c r="CG32" i="7"/>
  <c r="CK32" i="7"/>
  <c r="AW8" i="34"/>
  <c r="AX8" i="34" s="1"/>
  <c r="CA12" i="7"/>
  <c r="CE12" i="7"/>
  <c r="CA22" i="7"/>
  <c r="CE22" i="7"/>
  <c r="CA32" i="7"/>
  <c r="CE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CC12" i="7"/>
  <c r="BW12" i="7"/>
  <c r="CC22" i="7"/>
  <c r="BW22" i="7"/>
  <c r="CC32" i="7"/>
  <c r="BW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Q31" i="7"/>
  <c r="BS12" i="7"/>
  <c r="BY12" i="7"/>
  <c r="BU22" i="7"/>
  <c r="BY22" i="7"/>
  <c r="BU32" i="7"/>
  <c r="BY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R13" i="7"/>
  <c r="BU12" i="7"/>
  <c r="BR33" i="7"/>
  <c r="BS32" i="7"/>
  <c r="BR23" i="7"/>
  <c r="BS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X21" i="7"/>
  <c r="BD21" i="7"/>
  <c r="AU31" i="7"/>
  <c r="CI33" i="7" l="1"/>
  <c r="CM33" i="7"/>
  <c r="CI23" i="7"/>
  <c r="CM23" i="7"/>
  <c r="CI13" i="7"/>
  <c r="CM13" i="7"/>
  <c r="CG33" i="7"/>
  <c r="CK33" i="7"/>
  <c r="CK23" i="7"/>
  <c r="CG23" i="7"/>
  <c r="CK13" i="7"/>
  <c r="CG13" i="7"/>
  <c r="Y14" i="46"/>
  <c r="CA23" i="7"/>
  <c r="CE23" i="7"/>
  <c r="CA33" i="7"/>
  <c r="CE33" i="7"/>
  <c r="CA13" i="7"/>
  <c r="CE13" i="7"/>
  <c r="C79" i="46"/>
  <c r="M8" i="46"/>
  <c r="AY15" i="46"/>
  <c r="AY55" i="34"/>
  <c r="AY25" i="34"/>
  <c r="AY37" i="46"/>
  <c r="CC23" i="7"/>
  <c r="BW23" i="7"/>
  <c r="CC13" i="7"/>
  <c r="BW13" i="7"/>
  <c r="CC33" i="7"/>
  <c r="BW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Y13" i="7"/>
  <c r="BY33" i="7"/>
  <c r="BY23" i="7"/>
  <c r="BR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U13" i="7"/>
  <c r="BS13" i="7"/>
  <c r="BU33" i="7"/>
  <c r="BS33" i="7"/>
  <c r="BR34" i="7"/>
  <c r="BU23" i="7"/>
  <c r="BS23" i="7"/>
  <c r="BR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I14" i="7" l="1"/>
  <c r="CM14" i="7"/>
  <c r="CI34" i="7"/>
  <c r="CM34" i="7"/>
  <c r="CI24" i="7"/>
  <c r="CM24" i="7"/>
  <c r="CG14" i="7"/>
  <c r="CK14" i="7"/>
  <c r="CG34" i="7"/>
  <c r="CK34" i="7"/>
  <c r="CG24" i="7"/>
  <c r="CK24" i="7"/>
  <c r="CE14" i="7"/>
  <c r="CA34" i="7"/>
  <c r="CE34" i="7"/>
  <c r="CA24" i="7"/>
  <c r="CE24" i="7"/>
  <c r="BW14" i="7"/>
  <c r="CA14" i="7"/>
  <c r="CC34" i="7"/>
  <c r="BW34" i="7"/>
  <c r="CC24" i="7"/>
  <c r="BW24" i="7"/>
  <c r="BU14" i="7"/>
  <c r="CC14" i="7"/>
  <c r="BS14" i="7"/>
  <c r="BR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Y14" i="7"/>
  <c r="BY34" i="7"/>
  <c r="BY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U34" i="7"/>
  <c r="BR35" i="7"/>
  <c r="BS34" i="7"/>
  <c r="BU24" i="7"/>
  <c r="BR25" i="7"/>
  <c r="BS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I25" i="7" l="1"/>
  <c r="CM25" i="7"/>
  <c r="CI35" i="7"/>
  <c r="CM35" i="7"/>
  <c r="CI15" i="7"/>
  <c r="CM15" i="7"/>
  <c r="CK35" i="7"/>
  <c r="CG35" i="7"/>
  <c r="CK25" i="7"/>
  <c r="CG25" i="7"/>
  <c r="CK15" i="7"/>
  <c r="CG15" i="7"/>
  <c r="CE15" i="7"/>
  <c r="CA25" i="7"/>
  <c r="CE25" i="7"/>
  <c r="CA35" i="7"/>
  <c r="CE35" i="7"/>
  <c r="BS15" i="7"/>
  <c r="CA15" i="7"/>
  <c r="BU15" i="7"/>
  <c r="CC15" i="7"/>
  <c r="BW15" i="7"/>
  <c r="CC35" i="7"/>
  <c r="BW35" i="7"/>
  <c r="BR16" i="7"/>
  <c r="CC25" i="7"/>
  <c r="BW25" i="7"/>
  <c r="BY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Y35" i="7"/>
  <c r="BY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U35" i="7"/>
  <c r="BS35" i="7"/>
  <c r="BR36" i="7"/>
  <c r="BU25" i="7"/>
  <c r="BS25" i="7"/>
  <c r="BR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I36" i="7" l="1"/>
  <c r="CM36" i="7"/>
  <c r="CI16" i="7"/>
  <c r="CM16" i="7"/>
  <c r="CI26" i="7"/>
  <c r="CM26" i="7"/>
  <c r="CG36" i="7"/>
  <c r="CK36" i="7"/>
  <c r="CG16" i="7"/>
  <c r="CK16" i="7"/>
  <c r="CG26" i="7"/>
  <c r="CK26" i="7"/>
  <c r="CE16" i="7"/>
  <c r="CA36" i="7"/>
  <c r="CE36" i="7"/>
  <c r="CA26" i="7"/>
  <c r="CE26" i="7"/>
  <c r="BU16" i="7"/>
  <c r="CA16" i="7"/>
  <c r="BS16" i="7"/>
  <c r="BY16" i="7"/>
  <c r="CC36" i="7"/>
  <c r="BW36" i="7"/>
  <c r="CC26" i="7"/>
  <c r="BW26" i="7"/>
  <c r="CC16" i="7"/>
  <c r="BW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Y26" i="7"/>
  <c r="BY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U36" i="7"/>
  <c r="BS36" i="7"/>
  <c r="BU26" i="7"/>
  <c r="BS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43" i="49"/>
  <c r="G56" i="49"/>
  <c r="AL12" i="52"/>
  <c r="G33" i="51"/>
  <c r="G39" i="50"/>
  <c r="AJ66" i="51"/>
  <c r="AL28" i="52"/>
  <c r="G7" i="45"/>
  <c r="AJ66" i="49"/>
  <c r="G23" i="51"/>
  <c r="E22" i="52"/>
  <c r="G53" i="50"/>
  <c r="E23" i="52"/>
  <c r="AJ39" i="45"/>
  <c r="AJ46" i="47"/>
  <c r="G13" i="51"/>
  <c r="AK7" i="52"/>
  <c r="G11" i="50"/>
  <c r="AJ35" i="50"/>
  <c r="AJ30" i="51"/>
  <c r="AK19" i="52"/>
  <c r="AJ58" i="50"/>
  <c r="AJ56" i="50"/>
  <c r="AJ14" i="51"/>
  <c r="AJ64" i="51"/>
  <c r="AJ49" i="49"/>
  <c r="AL49" i="52"/>
  <c r="AJ55" i="49"/>
  <c r="G20" i="51"/>
  <c r="G41" i="50"/>
  <c r="G66" i="47"/>
  <c r="AL15" i="52"/>
  <c r="AK48" i="52"/>
  <c r="G34" i="50"/>
  <c r="G52" i="50"/>
  <c r="G18" i="49"/>
  <c r="AJ65" i="49"/>
  <c r="AJ25" i="50"/>
  <c r="G28" i="50"/>
  <c r="AL14" i="52"/>
  <c r="AJ20" i="49"/>
  <c r="AJ12" i="50"/>
  <c r="AJ32" i="50"/>
  <c r="G19" i="49"/>
  <c r="G20" i="49"/>
  <c r="AJ26" i="49"/>
  <c r="AL23" i="52"/>
  <c r="AJ22" i="49"/>
  <c r="AJ11" i="51"/>
  <c r="E20" i="52"/>
  <c r="G12" i="49"/>
  <c r="E7" i="51"/>
  <c r="G53" i="49"/>
  <c r="G30" i="49"/>
  <c r="E36" i="52"/>
  <c r="E46" i="52"/>
  <c r="G51" i="51"/>
  <c r="G31" i="49"/>
  <c r="G62" i="51"/>
  <c r="AJ57" i="51"/>
  <c r="E49" i="52"/>
  <c r="G26" i="51"/>
  <c r="AJ13" i="51"/>
  <c r="AJ12" i="51"/>
  <c r="G11" i="51"/>
  <c r="AJ56" i="49"/>
  <c r="G12" i="47"/>
  <c r="G11" i="49"/>
  <c r="G9" i="45"/>
  <c r="G49" i="50"/>
  <c r="AK21" i="52"/>
  <c r="AJ27" i="49"/>
  <c r="AJ19" i="50"/>
  <c r="AL16" i="52"/>
  <c r="AJ48" i="49"/>
  <c r="AL39" i="52"/>
  <c r="AJ44" i="50"/>
  <c r="AJ53" i="51"/>
  <c r="AJ51" i="50"/>
  <c r="AJ11" i="47"/>
  <c r="AK49" i="52"/>
  <c r="AJ39" i="51"/>
  <c r="E27" i="52"/>
  <c r="AJ11" i="49"/>
  <c r="AJ19" i="49"/>
  <c r="AJ48" i="50"/>
  <c r="G42" i="50"/>
  <c r="AL46" i="52"/>
  <c r="G35" i="50"/>
  <c r="G36" i="50"/>
  <c r="AK12" i="52"/>
  <c r="G44" i="46"/>
  <c r="AJ9" i="49"/>
  <c r="AL27" i="52"/>
  <c r="AJ61" i="51"/>
  <c r="AJ27" i="50"/>
  <c r="G59" i="49"/>
  <c r="AJ47" i="51"/>
  <c r="AL7" i="52"/>
  <c r="AK22" i="52"/>
  <c r="AJ59" i="51"/>
  <c r="E44" i="52"/>
  <c r="G8" i="49"/>
  <c r="AL37" i="52"/>
  <c r="AK51" i="52"/>
  <c r="AJ33" i="50"/>
  <c r="AJ46" i="49"/>
  <c r="AJ60" i="51"/>
  <c r="G64" i="49"/>
  <c r="G23" i="50"/>
  <c r="AJ15" i="51"/>
  <c r="G14" i="45"/>
  <c r="AJ14" i="50"/>
  <c r="AL29" i="52"/>
  <c r="AJ36" i="50"/>
  <c r="AJ59" i="49"/>
  <c r="AL48" i="52"/>
  <c r="AJ64" i="49"/>
  <c r="G43" i="51"/>
  <c r="AJ43" i="51"/>
  <c r="G54" i="51"/>
  <c r="AJ65" i="50"/>
  <c r="AJ41" i="49"/>
  <c r="E15" i="51"/>
  <c r="AL54" i="52"/>
  <c r="E42" i="52"/>
  <c r="AK45" i="52"/>
  <c r="G19" i="47"/>
  <c r="E28" i="52"/>
  <c r="G47" i="50"/>
  <c r="AJ18" i="49"/>
  <c r="AJ28" i="46"/>
  <c r="AJ26" i="51"/>
  <c r="AJ45" i="50"/>
  <c r="E16" i="52"/>
  <c r="AJ15" i="49"/>
  <c r="G20" i="47"/>
  <c r="AJ7" i="49"/>
  <c r="AL55" i="52"/>
  <c r="AJ49" i="50"/>
  <c r="AJ62" i="51"/>
  <c r="AJ8" i="51"/>
  <c r="AJ24" i="51"/>
  <c r="AJ41" i="50"/>
  <c r="AJ21" i="51"/>
  <c r="AJ48" i="46"/>
  <c r="G15" i="50"/>
  <c r="AJ63" i="50"/>
  <c r="G56" i="50"/>
  <c r="AJ66" i="50"/>
  <c r="AL25" i="52"/>
  <c r="E54" i="52"/>
  <c r="G63" i="47"/>
  <c r="AL43" i="52"/>
  <c r="G21" i="51"/>
  <c r="AJ37" i="49"/>
  <c r="AJ67" i="51"/>
  <c r="AK62" i="52"/>
  <c r="AJ61" i="49"/>
  <c r="AJ21" i="49"/>
  <c r="G17" i="51"/>
  <c r="AJ8" i="49"/>
  <c r="AK43" i="52"/>
  <c r="AK64" i="52"/>
  <c r="AK52" i="52"/>
  <c r="G40" i="49"/>
  <c r="AL64" i="52"/>
  <c r="AJ45" i="51"/>
  <c r="G54" i="50"/>
  <c r="AJ31" i="51"/>
  <c r="AJ55" i="51"/>
  <c r="AL19" i="52"/>
  <c r="G47" i="49"/>
  <c r="AK56" i="52"/>
  <c r="E13" i="52"/>
  <c r="AJ52" i="49"/>
  <c r="AJ52" i="50"/>
  <c r="G14" i="50"/>
  <c r="AL42" i="52"/>
  <c r="G47" i="51"/>
  <c r="AK42" i="52"/>
  <c r="AJ26" i="50"/>
  <c r="G55" i="50"/>
  <c r="AJ25" i="46"/>
  <c r="G50" i="49"/>
  <c r="AJ18" i="51"/>
  <c r="E50" i="52"/>
  <c r="G17" i="45"/>
  <c r="AL13" i="52"/>
  <c r="E38" i="52"/>
  <c r="AL36" i="52"/>
  <c r="AJ16" i="49"/>
  <c r="AJ13" i="50"/>
  <c r="AL63" i="52"/>
  <c r="G9" i="51"/>
  <c r="AJ42" i="49"/>
  <c r="G9" i="46"/>
  <c r="G31" i="51"/>
  <c r="AJ43" i="50"/>
  <c r="G16" i="45"/>
  <c r="AL38" i="52"/>
  <c r="AJ42" i="51"/>
  <c r="AJ35" i="49"/>
  <c r="G45" i="50"/>
  <c r="G39" i="51"/>
  <c r="G29" i="51"/>
  <c r="AL53" i="52"/>
  <c r="AK18" i="52"/>
  <c r="AJ46" i="51"/>
  <c r="G37" i="50"/>
  <c r="G35" i="49"/>
  <c r="G53" i="51"/>
  <c r="G7" i="50"/>
  <c r="G32" i="51"/>
  <c r="AJ31" i="49"/>
  <c r="AK61" i="52"/>
  <c r="G25" i="49"/>
  <c r="G48" i="51"/>
  <c r="G45" i="49"/>
  <c r="AJ57" i="50"/>
  <c r="G34" i="45"/>
  <c r="AJ10" i="47"/>
  <c r="G33" i="49"/>
  <c r="AJ29" i="49"/>
  <c r="G13" i="49"/>
  <c r="AJ23" i="51"/>
  <c r="G40" i="51"/>
  <c r="E40" i="52"/>
  <c r="AK25" i="52"/>
  <c r="G43" i="50"/>
  <c r="G38" i="49"/>
  <c r="G26" i="49"/>
  <c r="AJ16" i="46"/>
  <c r="AL20" i="52"/>
  <c r="AJ53" i="49"/>
  <c r="AK54" i="52"/>
  <c r="AL56" i="52"/>
  <c r="G34" i="49"/>
  <c r="G54" i="49"/>
  <c r="AJ58" i="49"/>
  <c r="AL45" i="52"/>
  <c r="AJ50" i="50"/>
  <c r="AL51" i="52"/>
  <c r="G17" i="50"/>
  <c r="AK40" i="52"/>
  <c r="E24" i="52"/>
  <c r="AL21" i="52"/>
  <c r="G16" i="47"/>
  <c r="AJ20" i="50"/>
  <c r="AK24" i="52"/>
  <c r="G8" i="50"/>
  <c r="E37" i="52"/>
  <c r="G61" i="47"/>
  <c r="G63" i="49"/>
  <c r="E41" i="52"/>
  <c r="AJ65" i="51"/>
  <c r="AK50" i="52"/>
  <c r="G52" i="51"/>
  <c r="AJ22" i="50"/>
  <c r="AJ15" i="50"/>
  <c r="AJ20" i="51"/>
  <c r="AJ24" i="50"/>
  <c r="AJ58" i="47"/>
  <c r="AL24" i="52"/>
  <c r="AJ54" i="50"/>
  <c r="AK10" i="52"/>
  <c r="G44" i="49"/>
  <c r="G27" i="47"/>
  <c r="E47" i="52"/>
  <c r="AJ57" i="49"/>
  <c r="AJ13" i="49"/>
  <c r="AJ54" i="49"/>
  <c r="AK57" i="52"/>
  <c r="AJ58" i="51"/>
  <c r="G55" i="51"/>
  <c r="AJ39" i="49"/>
  <c r="G15" i="49"/>
  <c r="G36" i="49"/>
  <c r="AJ32" i="46"/>
  <c r="G65" i="47"/>
  <c r="AJ38" i="51"/>
  <c r="AK47" i="52"/>
  <c r="G9" i="47"/>
  <c r="AJ36" i="51"/>
  <c r="AK14" i="52"/>
  <c r="AJ7" i="45"/>
  <c r="G34" i="51"/>
  <c r="AL52" i="52"/>
  <c r="G32" i="50"/>
  <c r="G31" i="50"/>
  <c r="AL18" i="52"/>
  <c r="E35" i="52"/>
  <c r="AL62" i="52"/>
  <c r="E34" i="52"/>
  <c r="AJ61" i="50"/>
  <c r="AJ33" i="51"/>
  <c r="AK36" i="52"/>
  <c r="G37" i="51"/>
  <c r="G14" i="49"/>
  <c r="G50" i="51"/>
  <c r="G22" i="50"/>
  <c r="AL35" i="52"/>
  <c r="G29" i="45"/>
  <c r="E12" i="52"/>
  <c r="AJ34" i="49"/>
  <c r="E21" i="52"/>
  <c r="G57" i="49"/>
  <c r="AJ50" i="51"/>
  <c r="G51" i="49"/>
  <c r="AJ39" i="50"/>
  <c r="AJ23" i="50"/>
  <c r="AJ28" i="50"/>
  <c r="G28" i="47"/>
  <c r="AJ43" i="49"/>
  <c r="G20" i="50"/>
  <c r="AL41" i="52"/>
  <c r="AJ53" i="50"/>
  <c r="AJ31" i="46"/>
  <c r="AJ28" i="45"/>
  <c r="G36" i="51"/>
  <c r="AL40" i="52"/>
  <c r="AJ41" i="51"/>
  <c r="G35" i="51"/>
  <c r="G9" i="50"/>
  <c r="AL8" i="52"/>
  <c r="G56" i="51"/>
  <c r="AJ25" i="49"/>
  <c r="AJ47" i="50"/>
  <c r="AJ42" i="50"/>
  <c r="AJ18" i="50"/>
  <c r="AJ67" i="50"/>
  <c r="E15" i="52"/>
  <c r="G64" i="51"/>
  <c r="AJ37" i="51"/>
  <c r="E45" i="52"/>
  <c r="AJ7" i="50"/>
  <c r="AL34" i="52"/>
  <c r="G8" i="46"/>
  <c r="G10" i="46"/>
  <c r="G13" i="47"/>
  <c r="G21" i="50"/>
  <c r="AK34" i="52"/>
  <c r="AJ38" i="49"/>
  <c r="G46" i="51"/>
  <c r="G22" i="51"/>
  <c r="AJ21" i="50"/>
  <c r="AJ60" i="49"/>
  <c r="G46" i="50"/>
  <c r="G57" i="50"/>
  <c r="AK20" i="52"/>
  <c r="AK9" i="52"/>
  <c r="AJ55" i="50"/>
  <c r="G14" i="51"/>
  <c r="AJ10" i="45"/>
  <c r="AL32" i="52"/>
  <c r="AJ20" i="46"/>
  <c r="AJ60" i="50"/>
  <c r="AJ11" i="45"/>
  <c r="AJ37" i="50"/>
  <c r="AJ29" i="50"/>
  <c r="AJ8" i="50"/>
  <c r="G27" i="51"/>
  <c r="AJ27" i="51"/>
  <c r="AJ35" i="51"/>
  <c r="G38" i="50"/>
  <c r="AJ38" i="50"/>
  <c r="E26" i="52"/>
  <c r="G24" i="50"/>
  <c r="E57" i="52"/>
  <c r="G48" i="49"/>
  <c r="AK28" i="52"/>
  <c r="G57" i="51"/>
  <c r="AJ47" i="49"/>
  <c r="AJ11" i="50"/>
  <c r="G37" i="49"/>
  <c r="AL26" i="52"/>
  <c r="AJ49" i="51"/>
  <c r="G42" i="49"/>
  <c r="G8" i="51"/>
  <c r="G46" i="49"/>
  <c r="G44" i="51"/>
  <c r="G16" i="50"/>
  <c r="AJ9" i="51"/>
  <c r="G24" i="49"/>
  <c r="E19" i="52"/>
  <c r="AJ10" i="51"/>
  <c r="G29" i="49"/>
  <c r="AJ9" i="50"/>
  <c r="AJ40" i="46"/>
  <c r="G39" i="49"/>
  <c r="AJ24" i="49"/>
  <c r="E25" i="52"/>
  <c r="E56" i="52"/>
  <c r="AJ28" i="49"/>
  <c r="E30" i="52"/>
  <c r="G49" i="49"/>
  <c r="AK46" i="52"/>
  <c r="AL57" i="52"/>
  <c r="AJ54" i="51"/>
  <c r="G28" i="49"/>
  <c r="G25" i="50"/>
  <c r="G58" i="51"/>
  <c r="AL50" i="52"/>
  <c r="AJ36" i="49"/>
  <c r="E11" i="52"/>
  <c r="E64" i="52"/>
  <c r="G30" i="51"/>
  <c r="AJ50" i="46"/>
  <c r="G62" i="50"/>
  <c r="AJ62" i="50"/>
  <c r="AJ62" i="49"/>
  <c r="G24" i="51"/>
  <c r="G19" i="51"/>
  <c r="AJ56" i="51"/>
  <c r="G30" i="50"/>
  <c r="AJ40" i="51"/>
  <c r="G7" i="49"/>
  <c r="AJ40" i="50"/>
  <c r="G14" i="46"/>
  <c r="E33" i="52"/>
  <c r="AJ47" i="45"/>
  <c r="AJ19" i="51"/>
  <c r="AL31" i="52"/>
  <c r="AJ25" i="51"/>
  <c r="E7" i="52"/>
  <c r="AJ57" i="46"/>
  <c r="G10" i="49"/>
  <c r="AJ30" i="49"/>
  <c r="E53" i="52"/>
  <c r="AK15" i="52"/>
  <c r="G48" i="50"/>
  <c r="AJ64" i="50"/>
  <c r="AJ10" i="50"/>
  <c r="G13" i="46"/>
  <c r="AK31" i="52"/>
  <c r="G64" i="47"/>
  <c r="AJ59" i="50"/>
  <c r="AJ51" i="49"/>
  <c r="G16" i="49"/>
  <c r="G45" i="51"/>
  <c r="AK17" i="52"/>
  <c r="E55" i="52"/>
  <c r="AK38" i="52"/>
  <c r="AK39" i="52"/>
  <c r="AJ44" i="51"/>
  <c r="AJ17" i="50"/>
  <c r="AK30" i="52"/>
  <c r="E8" i="52"/>
  <c r="G29" i="50"/>
  <c r="AJ42" i="45"/>
  <c r="AK27" i="52"/>
  <c r="G49" i="51"/>
  <c r="AK55" i="52"/>
  <c r="G60" i="46"/>
  <c r="G22" i="49"/>
  <c r="AK41" i="52"/>
  <c r="AJ20" i="45"/>
  <c r="G18" i="51"/>
  <c r="G32" i="49"/>
  <c r="G58" i="50"/>
  <c r="G11" i="46"/>
  <c r="AK23" i="52"/>
  <c r="AJ23" i="49"/>
  <c r="E51" i="52"/>
  <c r="AJ63" i="51"/>
  <c r="AJ12" i="49"/>
  <c r="G33" i="50"/>
  <c r="E32" i="52"/>
  <c r="G38" i="51"/>
  <c r="AJ46" i="50"/>
  <c r="AK33" i="52"/>
  <c r="G10" i="50"/>
  <c r="G21" i="45"/>
  <c r="G9" i="49"/>
  <c r="AJ14" i="49"/>
  <c r="G10" i="51"/>
  <c r="E29" i="52"/>
  <c r="E52" i="52"/>
  <c r="AJ10" i="49"/>
  <c r="AJ17" i="51"/>
  <c r="G63" i="51"/>
  <c r="AK35" i="52"/>
  <c r="G13" i="50"/>
  <c r="AL9" i="52"/>
  <c r="AJ34" i="50"/>
  <c r="AJ28" i="51"/>
  <c r="G13" i="45"/>
  <c r="G21" i="49"/>
  <c r="G64" i="50"/>
  <c r="E17" i="52"/>
  <c r="AJ32" i="49"/>
  <c r="AL33" i="52"/>
  <c r="AJ29" i="51"/>
  <c r="AL47" i="52"/>
  <c r="AJ40" i="49"/>
  <c r="G44" i="50"/>
  <c r="AK44" i="52"/>
  <c r="AL30" i="52"/>
  <c r="G26" i="50"/>
  <c r="G16" i="51"/>
  <c r="AJ17" i="49"/>
  <c r="G12" i="45"/>
  <c r="G12" i="46"/>
  <c r="G40" i="50"/>
  <c r="G41" i="49"/>
  <c r="AK29" i="52"/>
  <c r="AJ34" i="51"/>
  <c r="AJ44" i="49"/>
  <c r="G8" i="45"/>
  <c r="AJ16" i="45"/>
  <c r="G28" i="51"/>
  <c r="G27" i="50"/>
  <c r="AJ7" i="51"/>
  <c r="G16" i="46"/>
  <c r="AK53" i="52"/>
  <c r="E48" i="52"/>
  <c r="AJ32" i="51"/>
  <c r="G42" i="51"/>
  <c r="AL61" i="52"/>
  <c r="AJ30" i="50"/>
  <c r="AL22" i="52"/>
  <c r="AJ50" i="49"/>
  <c r="G17" i="49"/>
  <c r="G12" i="50"/>
  <c r="G8" i="47"/>
  <c r="AJ55" i="45"/>
  <c r="G52" i="49"/>
  <c r="AL17" i="52"/>
  <c r="G41" i="51"/>
  <c r="G11" i="47"/>
  <c r="AJ23" i="46"/>
  <c r="AK8" i="52"/>
  <c r="AJ67" i="49"/>
  <c r="AJ45" i="49"/>
  <c r="G55" i="49"/>
  <c r="AK13" i="52"/>
  <c r="AL10" i="52"/>
  <c r="G50" i="50"/>
  <c r="AJ51" i="51"/>
  <c r="AL44" i="52"/>
  <c r="AJ52" i="51"/>
  <c r="G63" i="50"/>
  <c r="G23" i="49"/>
  <c r="G58" i="49"/>
  <c r="AJ48" i="51"/>
  <c r="AK26" i="52"/>
  <c r="AJ31" i="50"/>
  <c r="AJ22" i="51"/>
  <c r="AK16" i="52"/>
  <c r="E39" i="52"/>
  <c r="E12" i="51"/>
  <c r="G18" i="50"/>
  <c r="G19" i="50"/>
  <c r="AJ50" i="45"/>
  <c r="E43" i="52"/>
  <c r="G27" i="49"/>
  <c r="AJ63" i="49"/>
  <c r="E9" i="52"/>
  <c r="AK37" i="52"/>
  <c r="E31" i="52"/>
  <c r="AK32" i="52"/>
  <c r="E14" i="52"/>
  <c r="G62" i="49"/>
  <c r="AK63" i="52"/>
  <c r="AJ24" i="45"/>
  <c r="G25" i="45"/>
  <c r="AJ16" i="50"/>
  <c r="G51" i="50"/>
  <c r="G25" i="51"/>
  <c r="E18" i="52"/>
  <c r="AJ16" i="51"/>
  <c r="AJ33" i="49"/>
  <c r="AL7" i="7"/>
  <c r="AO21" i="7"/>
  <c r="AO31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57" i="50"/>
  <c r="AL15" i="51"/>
  <c r="AK64" i="51"/>
  <c r="E47" i="51"/>
  <c r="AK51" i="51"/>
  <c r="AL8" i="51"/>
  <c r="E22" i="51"/>
  <c r="E47" i="49"/>
  <c r="AL23" i="50"/>
  <c r="E29" i="51"/>
  <c r="AK62" i="50"/>
  <c r="AK13" i="50"/>
  <c r="AL11" i="50"/>
  <c r="E44" i="50"/>
  <c r="E25" i="50"/>
  <c r="AL31" i="50"/>
  <c r="AK49" i="50"/>
  <c r="AK28" i="51"/>
  <c r="AL63" i="50"/>
  <c r="AK43" i="51"/>
  <c r="AL56" i="50"/>
  <c r="AL38" i="50"/>
  <c r="E28" i="51"/>
  <c r="E35" i="51"/>
  <c r="E7" i="50"/>
  <c r="AL52" i="51"/>
  <c r="AK7" i="51"/>
  <c r="AL55" i="50"/>
  <c r="E35" i="50"/>
  <c r="E51" i="51"/>
  <c r="AL32" i="51"/>
  <c r="AK7" i="50"/>
  <c r="AL35" i="51"/>
  <c r="E55" i="51"/>
  <c r="AK33" i="50"/>
  <c r="AL20" i="50"/>
  <c r="E16" i="51"/>
  <c r="AK21" i="50"/>
  <c r="AL55" i="51"/>
  <c r="AL16" i="51"/>
  <c r="AK31" i="50"/>
  <c r="E14" i="50"/>
  <c r="E62" i="51"/>
  <c r="AK12" i="51"/>
  <c r="AL30" i="50"/>
  <c r="AK17" i="51"/>
  <c r="E56" i="50"/>
  <c r="AL12" i="51"/>
  <c r="AK56" i="51"/>
  <c r="AK32" i="51"/>
  <c r="AK9" i="51"/>
  <c r="E48" i="50"/>
  <c r="E13" i="50"/>
  <c r="E15" i="49"/>
  <c r="AL52" i="50"/>
  <c r="E39" i="51"/>
  <c r="E52" i="51"/>
  <c r="AK46" i="51"/>
  <c r="AL56" i="51"/>
  <c r="E11" i="50"/>
  <c r="E55" i="49"/>
  <c r="AK53" i="50"/>
  <c r="E16" i="50"/>
  <c r="AK54" i="51"/>
  <c r="AL10" i="51"/>
  <c r="AL45" i="50"/>
  <c r="AL54" i="51"/>
  <c r="E41" i="50"/>
  <c r="E55" i="50"/>
  <c r="AL36" i="51"/>
  <c r="AL27" i="51"/>
  <c r="AL41" i="51"/>
  <c r="E36" i="50"/>
  <c r="E32" i="51"/>
  <c r="E38" i="50"/>
  <c r="AK31" i="51"/>
  <c r="AL25" i="50"/>
  <c r="AL28" i="50"/>
  <c r="AK10" i="50"/>
  <c r="AK44" i="50"/>
  <c r="AK34" i="50"/>
  <c r="AK34" i="51"/>
  <c r="AL8" i="50"/>
  <c r="AL51" i="50"/>
  <c r="AL50" i="51"/>
  <c r="AK33" i="51"/>
  <c r="E23" i="50"/>
  <c r="E30" i="50"/>
  <c r="E15" i="50"/>
  <c r="E27" i="50"/>
  <c r="E38" i="51"/>
  <c r="E62" i="50"/>
  <c r="AK36" i="51"/>
  <c r="AL49" i="51"/>
  <c r="AL9" i="50"/>
  <c r="E64" i="50"/>
  <c r="AL7" i="51"/>
  <c r="E19" i="51"/>
  <c r="AL40" i="50"/>
  <c r="AK16" i="50"/>
  <c r="AL47" i="51"/>
  <c r="E32" i="50"/>
  <c r="E13" i="49"/>
  <c r="AL22" i="50"/>
  <c r="AL37" i="50"/>
  <c r="E36" i="51"/>
  <c r="AK37" i="50"/>
  <c r="E18" i="50"/>
  <c r="AK9" i="50"/>
  <c r="E9" i="50"/>
  <c r="AK39" i="51"/>
  <c r="E37" i="51"/>
  <c r="E57" i="50"/>
  <c r="AL29" i="50"/>
  <c r="E50" i="51"/>
  <c r="AL30" i="51"/>
  <c r="AL57" i="51"/>
  <c r="AK29" i="50"/>
  <c r="E64" i="51"/>
  <c r="AK24" i="50"/>
  <c r="E53" i="50"/>
  <c r="E29" i="50"/>
  <c r="AK48" i="51"/>
  <c r="E17" i="51"/>
  <c r="AK8" i="50"/>
  <c r="AL44" i="51"/>
  <c r="AK41" i="50"/>
  <c r="AK45" i="51"/>
  <c r="AK58" i="51"/>
  <c r="AK27" i="51"/>
  <c r="AK42" i="51"/>
  <c r="AL28" i="51"/>
  <c r="AK25" i="50"/>
  <c r="AK35" i="50"/>
  <c r="E9" i="51"/>
  <c r="AK23" i="51"/>
  <c r="AK56" i="50"/>
  <c r="AL25" i="51"/>
  <c r="AK42" i="50"/>
  <c r="AL13" i="51"/>
  <c r="AK43" i="50"/>
  <c r="AK54" i="50"/>
  <c r="AL41" i="50"/>
  <c r="E33" i="50"/>
  <c r="E30" i="51"/>
  <c r="AK13" i="51"/>
  <c r="AK47" i="51"/>
  <c r="E19" i="50"/>
  <c r="AL36" i="50"/>
  <c r="AK15" i="50"/>
  <c r="E13" i="51"/>
  <c r="AK47" i="50"/>
  <c r="E34" i="51"/>
  <c r="AL31" i="51"/>
  <c r="AK20" i="50"/>
  <c r="E54" i="51"/>
  <c r="E21" i="51"/>
  <c r="AK32" i="50"/>
  <c r="E20" i="50"/>
  <c r="E39" i="50"/>
  <c r="AK45" i="50"/>
  <c r="E11" i="51"/>
  <c r="AK21" i="51"/>
  <c r="AK24" i="51"/>
  <c r="AL58" i="51"/>
  <c r="E42" i="51"/>
  <c r="E45" i="51"/>
  <c r="AL40" i="51"/>
  <c r="E58" i="50"/>
  <c r="AK18" i="50"/>
  <c r="AK20" i="51"/>
  <c r="AK38" i="50"/>
  <c r="AK14" i="51"/>
  <c r="AL34" i="51"/>
  <c r="AL9" i="51"/>
  <c r="AL64" i="51"/>
  <c r="E43" i="50"/>
  <c r="AL42" i="50"/>
  <c r="AL50" i="50"/>
  <c r="AL33" i="51"/>
  <c r="E46" i="50"/>
  <c r="AK50" i="51"/>
  <c r="E40" i="50"/>
  <c r="E58" i="51"/>
  <c r="E33" i="51"/>
  <c r="E25" i="51"/>
  <c r="AL21" i="50"/>
  <c r="E22" i="50"/>
  <c r="AK44" i="51"/>
  <c r="E24" i="51"/>
  <c r="AL26" i="51"/>
  <c r="AL32" i="50"/>
  <c r="AL29" i="51"/>
  <c r="AK52" i="51"/>
  <c r="AL46" i="50"/>
  <c r="AL58" i="50"/>
  <c r="E8" i="51"/>
  <c r="AK15" i="51"/>
  <c r="AK14" i="50"/>
  <c r="AL49" i="50"/>
  <c r="E18" i="51"/>
  <c r="E44" i="51"/>
  <c r="AL11" i="51"/>
  <c r="AK58" i="50"/>
  <c r="E54" i="50"/>
  <c r="AL14" i="50"/>
  <c r="AL38" i="51"/>
  <c r="AL27" i="50"/>
  <c r="E26" i="50"/>
  <c r="AL19" i="50"/>
  <c r="E34" i="50"/>
  <c r="E47" i="50"/>
  <c r="AL33" i="50"/>
  <c r="AL53" i="50"/>
  <c r="AL39" i="50"/>
  <c r="AL22" i="51"/>
  <c r="E31" i="51"/>
  <c r="E23" i="51"/>
  <c r="AL44" i="50"/>
  <c r="E12" i="50"/>
  <c r="AL48" i="51"/>
  <c r="AK46" i="50"/>
  <c r="AL16" i="50"/>
  <c r="AK52" i="50"/>
  <c r="AL24" i="50"/>
  <c r="AL51" i="51"/>
  <c r="AK40" i="50"/>
  <c r="AK30" i="51"/>
  <c r="AL42" i="51"/>
  <c r="AL17" i="51"/>
  <c r="AK10" i="51"/>
  <c r="E28" i="50"/>
  <c r="AL17" i="50"/>
  <c r="E41" i="51"/>
  <c r="AK11" i="50"/>
  <c r="AL24" i="51"/>
  <c r="AK19" i="51"/>
  <c r="AK30" i="50"/>
  <c r="AK28" i="50"/>
  <c r="AK18" i="51"/>
  <c r="E27" i="51"/>
  <c r="AK48" i="50"/>
  <c r="AK26" i="51"/>
  <c r="AK8" i="51"/>
  <c r="AL18" i="51"/>
  <c r="E42" i="50"/>
  <c r="AL54" i="50"/>
  <c r="AK37" i="51"/>
  <c r="AL19" i="51"/>
  <c r="E57" i="51"/>
  <c r="AK50" i="50"/>
  <c r="AK39" i="50"/>
  <c r="E21" i="50"/>
  <c r="E26" i="51"/>
  <c r="AK51" i="50"/>
  <c r="E53" i="51"/>
  <c r="AL64" i="50"/>
  <c r="AL46" i="51"/>
  <c r="AL47" i="50"/>
  <c r="AL7" i="50"/>
  <c r="E10" i="51"/>
  <c r="AK11" i="51"/>
  <c r="AL12" i="50"/>
  <c r="AL63" i="51"/>
  <c r="AK25" i="51"/>
  <c r="AK19" i="50"/>
  <c r="AL62" i="50"/>
  <c r="E17" i="50"/>
  <c r="E49" i="51"/>
  <c r="AK16" i="51"/>
  <c r="E50" i="50"/>
  <c r="AK55" i="51"/>
  <c r="AL23" i="51"/>
  <c r="AK64" i="50"/>
  <c r="AL26" i="50"/>
  <c r="AK26" i="50"/>
  <c r="AL45" i="51"/>
  <c r="AL13" i="50"/>
  <c r="AK29" i="51"/>
  <c r="E20" i="51"/>
  <c r="AK55" i="50"/>
  <c r="AL14" i="51"/>
  <c r="AK53" i="51"/>
  <c r="E63" i="51"/>
  <c r="AL62" i="51"/>
  <c r="E56" i="51"/>
  <c r="E63" i="50"/>
  <c r="AL43" i="50"/>
  <c r="AL53" i="51"/>
  <c r="AL39" i="51"/>
  <c r="E24" i="50"/>
  <c r="AL43" i="51"/>
  <c r="AL34" i="50"/>
  <c r="AL20" i="51"/>
  <c r="AL21" i="51"/>
  <c r="AK36" i="50"/>
  <c r="AK27" i="50"/>
  <c r="AL48" i="50"/>
  <c r="AK22" i="51"/>
  <c r="E8" i="50"/>
  <c r="E37" i="50"/>
  <c r="E40" i="51"/>
  <c r="E49" i="50"/>
  <c r="E45" i="50"/>
  <c r="AK17" i="50"/>
  <c r="AK41" i="51"/>
  <c r="AK35" i="51"/>
  <c r="E10" i="50"/>
  <c r="AL35" i="50"/>
  <c r="E14" i="51"/>
  <c r="AL18" i="50"/>
  <c r="E51" i="50"/>
  <c r="AK57" i="50"/>
  <c r="AK12" i="50"/>
  <c r="AL15" i="50"/>
  <c r="AK40" i="51"/>
  <c r="E48" i="51"/>
  <c r="AK38" i="51"/>
  <c r="AK23" i="50"/>
  <c r="AK57" i="51"/>
  <c r="E43" i="51"/>
  <c r="E46" i="51"/>
  <c r="AK63" i="51"/>
  <c r="E52" i="50"/>
  <c r="AL10" i="50"/>
  <c r="E31" i="50"/>
  <c r="AK49" i="51"/>
  <c r="AK22" i="50"/>
  <c r="AL37" i="51"/>
  <c r="AK62" i="51"/>
  <c r="AK63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2" i="47"/>
  <c r="AJ31" i="47"/>
  <c r="AJ53" i="46"/>
  <c r="G38" i="45"/>
  <c r="G12" i="43"/>
  <c r="G48" i="46"/>
  <c r="AJ63" i="45"/>
  <c r="AJ16" i="47"/>
  <c r="G52" i="47"/>
  <c r="AL55" i="49"/>
  <c r="E23" i="49"/>
  <c r="G57" i="47"/>
  <c r="G62" i="45"/>
  <c r="AJ60" i="46"/>
  <c r="AJ23" i="47"/>
  <c r="G48" i="47"/>
  <c r="AK9" i="49"/>
  <c r="E12" i="46"/>
  <c r="AJ41" i="46"/>
  <c r="AK49" i="49"/>
  <c r="AL20" i="46"/>
  <c r="AJ46" i="46"/>
  <c r="G28" i="45"/>
  <c r="AK33" i="49"/>
  <c r="G24" i="46"/>
  <c r="AK23" i="46"/>
  <c r="G45" i="47"/>
  <c r="AJ62" i="43"/>
  <c r="AL59" i="49"/>
  <c r="AL45" i="49"/>
  <c r="G10" i="47"/>
  <c r="AK38" i="49"/>
  <c r="AJ45" i="47"/>
  <c r="AJ33" i="46"/>
  <c r="AJ43" i="47"/>
  <c r="AJ64" i="47"/>
  <c r="AJ17" i="47"/>
  <c r="G26" i="45"/>
  <c r="G57" i="43"/>
  <c r="E25" i="49"/>
  <c r="AK7" i="49"/>
  <c r="AJ13" i="47"/>
  <c r="G39" i="43"/>
  <c r="E17" i="49"/>
  <c r="AL43" i="49"/>
  <c r="AL29" i="49"/>
  <c r="E41" i="49"/>
  <c r="AL57" i="46"/>
  <c r="AK50" i="45"/>
  <c r="G56" i="46"/>
  <c r="G34" i="43"/>
  <c r="AJ48" i="45"/>
  <c r="G53" i="47"/>
  <c r="AL21" i="49"/>
  <c r="AK10" i="45"/>
  <c r="AJ34" i="45"/>
  <c r="G57" i="46"/>
  <c r="AK46" i="49"/>
  <c r="E11" i="47"/>
  <c r="AJ36" i="43"/>
  <c r="G11" i="45"/>
  <c r="AJ57" i="43"/>
  <c r="E44" i="49"/>
  <c r="AL49" i="49"/>
  <c r="AL28" i="49"/>
  <c r="G46" i="43"/>
  <c r="AJ41" i="45"/>
  <c r="AJ54" i="43"/>
  <c r="AL48" i="49"/>
  <c r="E19" i="47"/>
  <c r="AK40" i="49"/>
  <c r="AL24" i="49"/>
  <c r="AJ61" i="47"/>
  <c r="G64" i="45"/>
  <c r="AK32" i="49"/>
  <c r="G41" i="45"/>
  <c r="AJ29" i="47"/>
  <c r="AJ30" i="43"/>
  <c r="AL40" i="49"/>
  <c r="AJ52" i="46"/>
  <c r="E34" i="45"/>
  <c r="AJ49" i="47"/>
  <c r="AJ14" i="43"/>
  <c r="AJ28" i="43"/>
  <c r="AJ8" i="46"/>
  <c r="AK30" i="49"/>
  <c r="G33" i="46"/>
  <c r="E61" i="47"/>
  <c r="E19" i="49"/>
  <c r="AJ62" i="46"/>
  <c r="AJ20" i="43"/>
  <c r="AJ7" i="46"/>
  <c r="AL42" i="49"/>
  <c r="G34" i="47"/>
  <c r="AL22" i="49"/>
  <c r="AJ47" i="47"/>
  <c r="AJ40" i="47"/>
  <c r="AJ52" i="47"/>
  <c r="AL38" i="49"/>
  <c r="AK32" i="46"/>
  <c r="AK16" i="45"/>
  <c r="AJ21" i="43"/>
  <c r="AK54" i="49"/>
  <c r="AK22" i="49"/>
  <c r="AL7" i="49"/>
  <c r="E66" i="47"/>
  <c r="AJ35" i="43"/>
  <c r="AK25" i="46"/>
  <c r="G30" i="43"/>
  <c r="AK42" i="49"/>
  <c r="E52" i="49"/>
  <c r="E64" i="49"/>
  <c r="G33" i="45"/>
  <c r="G17" i="47"/>
  <c r="AJ51" i="43"/>
  <c r="AL7" i="45"/>
  <c r="AJ51" i="45"/>
  <c r="AK48" i="46"/>
  <c r="AK45" i="49"/>
  <c r="E37" i="49"/>
  <c r="E14" i="49"/>
  <c r="G25" i="47"/>
  <c r="AK11" i="49"/>
  <c r="AL46" i="49"/>
  <c r="AJ44" i="47"/>
  <c r="G50" i="46"/>
  <c r="AK44" i="49"/>
  <c r="E64" i="47"/>
  <c r="G41" i="47"/>
  <c r="G39" i="46"/>
  <c r="AJ45" i="45"/>
  <c r="AJ7" i="43"/>
  <c r="AK20" i="46"/>
  <c r="G58" i="46"/>
  <c r="E9" i="45"/>
  <c r="AJ59" i="43"/>
  <c r="E26" i="49"/>
  <c r="G60" i="47"/>
  <c r="G63" i="46"/>
  <c r="E57" i="49"/>
  <c r="E16" i="49"/>
  <c r="AJ25" i="47"/>
  <c r="AL46" i="47"/>
  <c r="E7" i="49"/>
  <c r="G42" i="43"/>
  <c r="G55" i="47"/>
  <c r="AJ52" i="43"/>
  <c r="AK42" i="45"/>
  <c r="G36" i="45"/>
  <c r="AK16" i="46"/>
  <c r="G21" i="43"/>
  <c r="E14" i="45"/>
  <c r="G25" i="46"/>
  <c r="AJ38" i="43"/>
  <c r="AJ55" i="47"/>
  <c r="AJ12" i="43"/>
  <c r="AK31" i="49"/>
  <c r="E8" i="46"/>
  <c r="G52" i="46"/>
  <c r="AJ54" i="45"/>
  <c r="AL26" i="49"/>
  <c r="G49" i="47"/>
  <c r="G45" i="43"/>
  <c r="E35" i="49"/>
  <c r="AL34" i="49"/>
  <c r="E9" i="47"/>
  <c r="AJ32" i="43"/>
  <c r="G35" i="46"/>
  <c r="AK10" i="47"/>
  <c r="AJ54" i="47"/>
  <c r="AJ52" i="45"/>
  <c r="G31" i="43"/>
  <c r="AL39" i="49"/>
  <c r="E63" i="49"/>
  <c r="G53" i="45"/>
  <c r="AK27" i="49"/>
  <c r="AJ51" i="47"/>
  <c r="G42" i="45"/>
  <c r="AJ15" i="43"/>
  <c r="AL33" i="49"/>
  <c r="E59" i="49"/>
  <c r="AJ53" i="47"/>
  <c r="G49" i="45"/>
  <c r="AJ35" i="46"/>
  <c r="G20" i="46"/>
  <c r="E56" i="49"/>
  <c r="G31" i="47"/>
  <c r="G57" i="45"/>
  <c r="AL50" i="49"/>
  <c r="AJ48" i="47"/>
  <c r="G44" i="45"/>
  <c r="G58" i="47"/>
  <c r="G54" i="46"/>
  <c r="G27" i="46"/>
  <c r="G33" i="43"/>
  <c r="E13" i="45"/>
  <c r="G54" i="47"/>
  <c r="AJ59" i="47"/>
  <c r="G55" i="46"/>
  <c r="G45" i="45"/>
  <c r="AK39" i="49"/>
  <c r="AJ27" i="43"/>
  <c r="G18" i="47"/>
  <c r="AK13" i="49"/>
  <c r="AL23" i="49"/>
  <c r="E53" i="49"/>
  <c r="G8" i="43"/>
  <c r="AJ60" i="43"/>
  <c r="E32" i="49"/>
  <c r="G54" i="43"/>
  <c r="G37" i="43"/>
  <c r="G38" i="43"/>
  <c r="AJ38" i="47"/>
  <c r="AJ63" i="47"/>
  <c r="G36" i="47"/>
  <c r="G39" i="45"/>
  <c r="AJ34" i="46"/>
  <c r="AJ26" i="43"/>
  <c r="AL18" i="49"/>
  <c r="AL20" i="49"/>
  <c r="G51" i="45"/>
  <c r="AL35" i="49"/>
  <c r="G46" i="45"/>
  <c r="AJ49" i="45"/>
  <c r="AJ67" i="43"/>
  <c r="G58" i="43"/>
  <c r="E44" i="46"/>
  <c r="AL50" i="46"/>
  <c r="G35" i="43"/>
  <c r="G32" i="43"/>
  <c r="G18" i="46"/>
  <c r="G25" i="43"/>
  <c r="AJ44" i="43"/>
  <c r="AJ56" i="43"/>
  <c r="AJ14" i="46"/>
  <c r="E11" i="46"/>
  <c r="AL27" i="49"/>
  <c r="AJ27" i="47"/>
  <c r="E10" i="46"/>
  <c r="AK26" i="49"/>
  <c r="AJ9" i="43"/>
  <c r="G36" i="43"/>
  <c r="AL47" i="45"/>
  <c r="E36" i="49"/>
  <c r="G45" i="46"/>
  <c r="AL15" i="49"/>
  <c r="G65" i="45"/>
  <c r="AK57" i="46"/>
  <c r="AL63" i="49"/>
  <c r="AJ21" i="47"/>
  <c r="AK11" i="45"/>
  <c r="G32" i="45"/>
  <c r="G32" i="46"/>
  <c r="G51" i="47"/>
  <c r="G35" i="45"/>
  <c r="AJ67" i="47"/>
  <c r="AJ60" i="45"/>
  <c r="E40" i="49"/>
  <c r="AJ20" i="47"/>
  <c r="G51" i="46"/>
  <c r="G24" i="47"/>
  <c r="AJ19" i="47"/>
  <c r="AK53" i="49"/>
  <c r="G26" i="46"/>
  <c r="AK24" i="45"/>
  <c r="AJ49" i="46"/>
  <c r="G23" i="47"/>
  <c r="AL25" i="46"/>
  <c r="AJ15" i="47"/>
  <c r="AJ32" i="47"/>
  <c r="G28" i="43"/>
  <c r="AJ61" i="45"/>
  <c r="AJ27" i="46"/>
  <c r="AL55" i="45"/>
  <c r="G37" i="45"/>
  <c r="AL10" i="45"/>
  <c r="AJ19" i="46"/>
  <c r="E20" i="47"/>
  <c r="AK25" i="49"/>
  <c r="E31" i="49"/>
  <c r="G40" i="43"/>
  <c r="E16" i="45"/>
  <c r="AJ12" i="46"/>
  <c r="E33" i="49"/>
  <c r="AL28" i="45"/>
  <c r="G50" i="43"/>
  <c r="AJ46" i="43"/>
  <c r="AJ28" i="47"/>
  <c r="AJ63" i="43"/>
  <c r="AJ29" i="45"/>
  <c r="AJ61" i="46"/>
  <c r="G34" i="46"/>
  <c r="G44" i="47"/>
  <c r="E17" i="45"/>
  <c r="AK50" i="46"/>
  <c r="G14" i="43"/>
  <c r="AK57" i="49"/>
  <c r="AJ62" i="45"/>
  <c r="G46" i="47"/>
  <c r="AL24" i="45"/>
  <c r="AJ43" i="45"/>
  <c r="G15" i="45"/>
  <c r="AJ32" i="45"/>
  <c r="AJ59" i="46"/>
  <c r="G65" i="46"/>
  <c r="AL11" i="45"/>
  <c r="G31" i="46"/>
  <c r="E13" i="47"/>
  <c r="AJ34" i="47"/>
  <c r="AL12" i="49"/>
  <c r="AK58" i="49"/>
  <c r="E45" i="49"/>
  <c r="AK50" i="49"/>
  <c r="AJ18" i="47"/>
  <c r="AJ14" i="45"/>
  <c r="AL14" i="49"/>
  <c r="G48" i="45"/>
  <c r="AJ46" i="45"/>
  <c r="AK28" i="46"/>
  <c r="G33" i="47"/>
  <c r="AJ17" i="43"/>
  <c r="AL54" i="49"/>
  <c r="AJ33" i="47"/>
  <c r="AK16" i="49"/>
  <c r="G22" i="46"/>
  <c r="E12" i="45"/>
  <c r="AJ63" i="46"/>
  <c r="G15" i="43"/>
  <c r="AJ26" i="45"/>
  <c r="G30" i="46"/>
  <c r="AJ55" i="43"/>
  <c r="AK7" i="45"/>
  <c r="G35" i="47"/>
  <c r="AJ36" i="46"/>
  <c r="G19" i="43"/>
  <c r="AJ25" i="45"/>
  <c r="AJ15" i="45"/>
  <c r="AL47" i="49"/>
  <c r="G49" i="46"/>
  <c r="AJ37" i="45"/>
  <c r="AK58" i="47"/>
  <c r="G59" i="47"/>
  <c r="AL39" i="45"/>
  <c r="G41" i="43"/>
  <c r="AL62" i="49"/>
  <c r="G19" i="46"/>
  <c r="E14" i="46"/>
  <c r="AJ58" i="45"/>
  <c r="AJ40" i="45"/>
  <c r="E13" i="46"/>
  <c r="AL32" i="46"/>
  <c r="G47" i="45"/>
  <c r="E65" i="47"/>
  <c r="E48" i="49"/>
  <c r="AJ24" i="46"/>
  <c r="AJ42" i="46"/>
  <c r="AL48" i="46"/>
  <c r="AL58" i="47"/>
  <c r="AK29" i="49"/>
  <c r="AL10" i="47"/>
  <c r="AJ10" i="43"/>
  <c r="G26" i="47"/>
  <c r="AK28" i="49"/>
  <c r="AJ38" i="46"/>
  <c r="AJ65" i="43"/>
  <c r="AJ11" i="43"/>
  <c r="AL50" i="45"/>
  <c r="G63" i="45"/>
  <c r="AK8" i="49"/>
  <c r="AJ50" i="43"/>
  <c r="AJ19" i="43"/>
  <c r="E21" i="45"/>
  <c r="AJ43" i="43"/>
  <c r="E10" i="49"/>
  <c r="AJ37" i="43"/>
  <c r="G50" i="47"/>
  <c r="E58" i="49"/>
  <c r="AK20" i="49"/>
  <c r="G43" i="43"/>
  <c r="AJ48" i="43"/>
  <c r="G16" i="43"/>
  <c r="AJ39" i="47"/>
  <c r="AL64" i="49"/>
  <c r="G42" i="46"/>
  <c r="E8" i="47"/>
  <c r="AJ8" i="47"/>
  <c r="AK47" i="49"/>
  <c r="AL16" i="45"/>
  <c r="AJ45" i="46"/>
  <c r="E49" i="49"/>
  <c r="AJ43" i="46"/>
  <c r="AJ17" i="45"/>
  <c r="G15" i="46"/>
  <c r="AK34" i="49"/>
  <c r="G24" i="43"/>
  <c r="AJ66" i="46"/>
  <c r="G62" i="43"/>
  <c r="AJ29" i="43"/>
  <c r="AK56" i="49"/>
  <c r="AK17" i="49"/>
  <c r="E16" i="46"/>
  <c r="G58" i="45"/>
  <c r="AJ39" i="46"/>
  <c r="G30" i="45"/>
  <c r="AJ16" i="43"/>
  <c r="AJ40" i="43"/>
  <c r="G19" i="45"/>
  <c r="E63" i="47"/>
  <c r="AJ10" i="46"/>
  <c r="G31" i="45"/>
  <c r="G18" i="43"/>
  <c r="AJ67" i="45"/>
  <c r="AK64" i="49"/>
  <c r="G27" i="45"/>
  <c r="G10" i="43"/>
  <c r="AK12" i="49"/>
  <c r="E28" i="49"/>
  <c r="G23" i="45"/>
  <c r="AJ21" i="45"/>
  <c r="G56" i="43"/>
  <c r="AJ23" i="43"/>
  <c r="AK52" i="49"/>
  <c r="G40" i="47"/>
  <c r="E12" i="49"/>
  <c r="AJ62" i="47"/>
  <c r="G47" i="47"/>
  <c r="AJ13" i="46"/>
  <c r="AJ45" i="43"/>
  <c r="G41" i="46"/>
  <c r="AJ37" i="46"/>
  <c r="AJ26" i="47"/>
  <c r="AJ31" i="43"/>
  <c r="AL37" i="49"/>
  <c r="AJ22" i="46"/>
  <c r="AJ61" i="43"/>
  <c r="G17" i="43"/>
  <c r="G27" i="43"/>
  <c r="E21" i="49"/>
  <c r="G47" i="46"/>
  <c r="G7" i="46"/>
  <c r="E50" i="49"/>
  <c r="E8" i="49"/>
  <c r="AK21" i="49"/>
  <c r="AL19" i="49"/>
  <c r="AJ7" i="47"/>
  <c r="G64" i="46"/>
  <c r="AJ58" i="43"/>
  <c r="AL58" i="49"/>
  <c r="AJ18" i="43"/>
  <c r="AJ13" i="45"/>
  <c r="AK40" i="46"/>
  <c r="AK63" i="49"/>
  <c r="E51" i="49"/>
  <c r="AK46" i="47"/>
  <c r="G46" i="46"/>
  <c r="G7" i="47"/>
  <c r="AJ8" i="43"/>
  <c r="E16" i="47"/>
  <c r="AL11" i="47"/>
  <c r="E24" i="49"/>
  <c r="AJ12" i="45"/>
  <c r="E20" i="49"/>
  <c r="G23" i="46"/>
  <c r="AJ35" i="45"/>
  <c r="AK11" i="47"/>
  <c r="G50" i="45"/>
  <c r="AJ27" i="45"/>
  <c r="AJ26" i="46"/>
  <c r="G7" i="43"/>
  <c r="AL51" i="49"/>
  <c r="AJ66" i="45"/>
  <c r="G23" i="43"/>
  <c r="AK55" i="45"/>
  <c r="E18" i="49"/>
  <c r="AL16" i="46"/>
  <c r="G51" i="43"/>
  <c r="AK31" i="46"/>
  <c r="AJ66" i="47"/>
  <c r="AL17" i="49"/>
  <c r="AJ50" i="47"/>
  <c r="AJ65" i="47"/>
  <c r="AJ38" i="45"/>
  <c r="AJ8" i="45"/>
  <c r="AK36" i="49"/>
  <c r="AK10" i="49"/>
  <c r="AJ30" i="46"/>
  <c r="G38" i="47"/>
  <c r="AK20" i="45"/>
  <c r="AL16" i="49"/>
  <c r="AJ41" i="47"/>
  <c r="AJ56" i="47"/>
  <c r="AJ44" i="46"/>
  <c r="AJ25" i="43"/>
  <c r="G36" i="46"/>
  <c r="G15" i="47"/>
  <c r="AK48" i="49"/>
  <c r="AL30" i="49"/>
  <c r="E46" i="49"/>
  <c r="G37" i="46"/>
  <c r="AJ67" i="46"/>
  <c r="G21" i="46"/>
  <c r="G38" i="46"/>
  <c r="G53" i="43"/>
  <c r="AJ21" i="46"/>
  <c r="AJ66" i="43"/>
  <c r="G39" i="47"/>
  <c r="AJ56" i="45"/>
  <c r="G49" i="43"/>
  <c r="AJ24" i="43"/>
  <c r="AJ44" i="45"/>
  <c r="AK59" i="49"/>
  <c r="G24" i="45"/>
  <c r="AJ65" i="46"/>
  <c r="AJ13" i="43"/>
  <c r="G29" i="43"/>
  <c r="AJ22" i="43"/>
  <c r="AK47" i="45"/>
  <c r="AJ36" i="45"/>
  <c r="AL8" i="49"/>
  <c r="AL42" i="45"/>
  <c r="AJ47" i="46"/>
  <c r="G55" i="45"/>
  <c r="AJ64" i="46"/>
  <c r="G56" i="45"/>
  <c r="AJ14" i="47"/>
  <c r="G53" i="46"/>
  <c r="AK55" i="49"/>
  <c r="AK19" i="49"/>
  <c r="AJ24" i="47"/>
  <c r="E62" i="49"/>
  <c r="AL32" i="49"/>
  <c r="AJ18" i="46"/>
  <c r="G59" i="45"/>
  <c r="G43" i="47"/>
  <c r="G52" i="43"/>
  <c r="AJ29" i="46"/>
  <c r="AL11" i="49"/>
  <c r="E27" i="49"/>
  <c r="AJ57" i="47"/>
  <c r="AJ55" i="46"/>
  <c r="AL13" i="49"/>
  <c r="G11" i="43"/>
  <c r="E12" i="47"/>
  <c r="AJ33" i="43"/>
  <c r="AK37" i="49"/>
  <c r="AJ11" i="46"/>
  <c r="AJ35" i="47"/>
  <c r="AJ22" i="45"/>
  <c r="AL56" i="49"/>
  <c r="G14" i="47"/>
  <c r="AJ41" i="43"/>
  <c r="AL31" i="49"/>
  <c r="AL44" i="49"/>
  <c r="G52" i="45"/>
  <c r="AK62" i="49"/>
  <c r="AJ31" i="45"/>
  <c r="E8" i="45"/>
  <c r="G62" i="46"/>
  <c r="AJ58" i="46"/>
  <c r="G21" i="47"/>
  <c r="G17" i="46"/>
  <c r="AL52" i="49"/>
  <c r="AJ30" i="47"/>
  <c r="AJ12" i="47"/>
  <c r="E7" i="45"/>
  <c r="AJ64" i="45"/>
  <c r="G18" i="45"/>
  <c r="AJ53" i="43"/>
  <c r="G43" i="45"/>
  <c r="AK24" i="49"/>
  <c r="AK15" i="49"/>
  <c r="AK51" i="49"/>
  <c r="E9" i="46"/>
  <c r="G22" i="47"/>
  <c r="AJ15" i="46"/>
  <c r="AL20" i="45"/>
  <c r="AK23" i="49"/>
  <c r="G30" i="47"/>
  <c r="G44" i="43"/>
  <c r="AJ47" i="43"/>
  <c r="AL23" i="46"/>
  <c r="E38" i="49"/>
  <c r="E39" i="49"/>
  <c r="E25" i="45"/>
  <c r="E54" i="49"/>
  <c r="AJ65" i="45"/>
  <c r="AJ23" i="45"/>
  <c r="G47" i="43"/>
  <c r="G10" i="45"/>
  <c r="G54" i="45"/>
  <c r="AJ56" i="46"/>
  <c r="G64" i="43"/>
  <c r="G56" i="47"/>
  <c r="AJ64" i="43"/>
  <c r="G20" i="45"/>
  <c r="G40" i="46"/>
  <c r="AJ42" i="43"/>
  <c r="AJ57" i="45"/>
  <c r="G26" i="43"/>
  <c r="AK14" i="49"/>
  <c r="E28" i="47"/>
  <c r="AL36" i="49"/>
  <c r="AJ60" i="47"/>
  <c r="E30" i="49"/>
  <c r="AJ37" i="47"/>
  <c r="AJ9" i="46"/>
  <c r="AL57" i="49"/>
  <c r="AL28" i="46"/>
  <c r="G9" i="43"/>
  <c r="G29" i="46"/>
  <c r="AJ19" i="45"/>
  <c r="AK43" i="49"/>
  <c r="AK35" i="49"/>
  <c r="AK28" i="45"/>
  <c r="AK41" i="49"/>
  <c r="AJ51" i="46"/>
  <c r="G37" i="47"/>
  <c r="AJ49" i="43"/>
  <c r="AK39" i="45"/>
  <c r="G59" i="43"/>
  <c r="G22" i="45"/>
  <c r="AJ39" i="43"/>
  <c r="G40" i="45"/>
  <c r="G29" i="47"/>
  <c r="AL25" i="49"/>
  <c r="E9" i="49"/>
  <c r="E42" i="49"/>
  <c r="AL9" i="49"/>
  <c r="AJ54" i="46"/>
  <c r="AJ33" i="45"/>
  <c r="G13" i="43"/>
  <c r="AL10" i="49"/>
  <c r="AK18" i="49"/>
  <c r="E22" i="49"/>
  <c r="AJ17" i="46"/>
  <c r="AJ30" i="45"/>
  <c r="G42" i="47"/>
  <c r="G63" i="43"/>
  <c r="G20" i="43"/>
  <c r="G28" i="46"/>
  <c r="G59" i="46"/>
  <c r="E29" i="45"/>
  <c r="E43" i="49"/>
  <c r="AL40" i="46"/>
  <c r="G32" i="47"/>
  <c r="G43" i="46"/>
  <c r="AJ9" i="47"/>
  <c r="AJ59" i="45"/>
  <c r="AJ34" i="43"/>
  <c r="AL31" i="46"/>
  <c r="E34" i="49"/>
  <c r="G22" i="43"/>
  <c r="AL41" i="49"/>
  <c r="AJ53" i="45"/>
  <c r="AL53" i="49"/>
  <c r="E11" i="49"/>
  <c r="G48" i="43"/>
  <c r="AJ9" i="45"/>
  <c r="G55" i="43"/>
  <c r="E27" i="47"/>
  <c r="AJ18" i="45"/>
  <c r="E29" i="49"/>
  <c r="AJ36" i="47"/>
  <c r="AJ22" i="47"/>
  <c r="AR31" i="7"/>
  <c r="AR21" i="7"/>
  <c r="AR1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K29" i="45"/>
  <c r="AK63" i="46"/>
  <c r="AK8" i="43"/>
  <c r="AL9" i="43"/>
  <c r="E31" i="43"/>
  <c r="AK24" i="46"/>
  <c r="AK33" i="45"/>
  <c r="E42" i="46"/>
  <c r="AL52" i="46"/>
  <c r="AK34" i="43"/>
  <c r="AL40" i="47"/>
  <c r="AL53" i="45"/>
  <c r="AL53" i="43"/>
  <c r="AK51" i="43"/>
  <c r="E53" i="45"/>
  <c r="AL27" i="43"/>
  <c r="E43" i="47"/>
  <c r="AL16" i="47"/>
  <c r="E10" i="47"/>
  <c r="E58" i="43"/>
  <c r="AL7" i="47"/>
  <c r="E17" i="46"/>
  <c r="AK59" i="46"/>
  <c r="E21" i="46"/>
  <c r="E45" i="45"/>
  <c r="E20" i="45"/>
  <c r="AK48" i="47"/>
  <c r="E26" i="47"/>
  <c r="E23" i="43"/>
  <c r="E44" i="43"/>
  <c r="AL56" i="46"/>
  <c r="AK56" i="43"/>
  <c r="AL40" i="45"/>
  <c r="AK30" i="45"/>
  <c r="AL51" i="43"/>
  <c r="E51" i="45"/>
  <c r="AL34" i="46"/>
  <c r="E25" i="47"/>
  <c r="E30" i="45"/>
  <c r="AL23" i="47"/>
  <c r="AL51" i="45"/>
  <c r="AK46" i="46"/>
  <c r="E47" i="45"/>
  <c r="AK58" i="43"/>
  <c r="AL53" i="46"/>
  <c r="AL51" i="46"/>
  <c r="AK41" i="43"/>
  <c r="AK30" i="46"/>
  <c r="E7" i="47"/>
  <c r="AK9" i="46"/>
  <c r="E23" i="46"/>
  <c r="E45" i="47"/>
  <c r="AL15" i="47"/>
  <c r="AK51" i="47"/>
  <c r="AL22" i="47"/>
  <c r="AL35" i="47"/>
  <c r="AL62" i="45"/>
  <c r="AL61" i="47"/>
  <c r="E44" i="47"/>
  <c r="AK37" i="43"/>
  <c r="AL58" i="46"/>
  <c r="AL66" i="47"/>
  <c r="AL22" i="46"/>
  <c r="AK19" i="47"/>
  <c r="AL47" i="47"/>
  <c r="AL26" i="45"/>
  <c r="AK29" i="47"/>
  <c r="E46" i="46"/>
  <c r="AK24" i="43"/>
  <c r="E46" i="45"/>
  <c r="E50" i="47"/>
  <c r="AL65" i="45"/>
  <c r="E57" i="46"/>
  <c r="AL33" i="46"/>
  <c r="AK21" i="46"/>
  <c r="AL45" i="46"/>
  <c r="E54" i="46"/>
  <c r="AK29" i="46"/>
  <c r="AK15" i="47"/>
  <c r="AL48" i="47"/>
  <c r="AK35" i="47"/>
  <c r="E58" i="47"/>
  <c r="E36" i="45"/>
  <c r="AK55" i="43"/>
  <c r="AL24" i="46"/>
  <c r="AK15" i="45"/>
  <c r="AK33" i="46"/>
  <c r="AL36" i="47"/>
  <c r="AK22" i="45"/>
  <c r="AL23" i="43"/>
  <c r="AK52" i="45"/>
  <c r="AL34" i="43"/>
  <c r="AK22" i="47"/>
  <c r="E45" i="43"/>
  <c r="AL40" i="43"/>
  <c r="AL49" i="46"/>
  <c r="E52" i="46"/>
  <c r="AK55" i="47"/>
  <c r="AL9" i="45"/>
  <c r="AL13" i="45"/>
  <c r="AK64" i="45"/>
  <c r="E28" i="45"/>
  <c r="AK25" i="45"/>
  <c r="AK13" i="43"/>
  <c r="E28" i="43"/>
  <c r="E13" i="43"/>
  <c r="AK45" i="45"/>
  <c r="AL21" i="47"/>
  <c r="AL29" i="47"/>
  <c r="E63" i="46"/>
  <c r="AL30" i="46"/>
  <c r="E55" i="45"/>
  <c r="E32" i="47"/>
  <c r="AK35" i="43"/>
  <c r="AK8" i="45"/>
  <c r="AK63" i="43"/>
  <c r="AL36" i="43"/>
  <c r="AL47" i="46"/>
  <c r="AL57" i="43"/>
  <c r="AL8" i="43"/>
  <c r="E30" i="46"/>
  <c r="AK20" i="43"/>
  <c r="AK64" i="46"/>
  <c r="AL28" i="43"/>
  <c r="AK27" i="43"/>
  <c r="E11" i="45"/>
  <c r="E47" i="47"/>
  <c r="AL38" i="43"/>
  <c r="E7" i="46"/>
  <c r="E10" i="45"/>
  <c r="AK17" i="45"/>
  <c r="AK33" i="47"/>
  <c r="AK9" i="45"/>
  <c r="AK24" i="47"/>
  <c r="E21" i="47"/>
  <c r="AK49" i="47"/>
  <c r="E19" i="43"/>
  <c r="E53" i="46"/>
  <c r="AL59" i="47"/>
  <c r="E42" i="43"/>
  <c r="E56" i="47"/>
  <c r="AL49" i="45"/>
  <c r="E32" i="43"/>
  <c r="AL25" i="47"/>
  <c r="AK43" i="47"/>
  <c r="E38" i="43"/>
  <c r="AK22" i="46"/>
  <c r="AL42" i="43"/>
  <c r="AK65" i="46"/>
  <c r="AL22" i="45"/>
  <c r="E37" i="47"/>
  <c r="AK44" i="45"/>
  <c r="E8" i="43"/>
  <c r="AL55" i="43"/>
  <c r="AK50" i="43"/>
  <c r="AK39" i="46"/>
  <c r="E50" i="45"/>
  <c r="E48" i="43"/>
  <c r="E24" i="47"/>
  <c r="E29" i="47"/>
  <c r="AK61" i="47"/>
  <c r="E37" i="45"/>
  <c r="AK7" i="46"/>
  <c r="E34" i="47"/>
  <c r="AL12" i="45"/>
  <c r="AL13" i="43"/>
  <c r="E22" i="46"/>
  <c r="AK21" i="47"/>
  <c r="E39" i="46"/>
  <c r="AK47" i="43"/>
  <c r="AK14" i="43"/>
  <c r="AK48" i="45"/>
  <c r="E41" i="46"/>
  <c r="AK27" i="45"/>
  <c r="AL41" i="46"/>
  <c r="E15" i="46"/>
  <c r="E39" i="47"/>
  <c r="AL15" i="46"/>
  <c r="AK37" i="45"/>
  <c r="AL41" i="45"/>
  <c r="E14" i="47"/>
  <c r="AK44" i="43"/>
  <c r="AK48" i="43"/>
  <c r="E58" i="46"/>
  <c r="E46" i="47"/>
  <c r="E64" i="45"/>
  <c r="AL21" i="46"/>
  <c r="AL18" i="47"/>
  <c r="AK19" i="45"/>
  <c r="AL33" i="45"/>
  <c r="AL26" i="46"/>
  <c r="AL8" i="45"/>
  <c r="AL46" i="43"/>
  <c r="E15" i="47"/>
  <c r="AK41" i="47"/>
  <c r="AL22" i="43"/>
  <c r="AK12" i="47"/>
  <c r="E65" i="46"/>
  <c r="AL18" i="43"/>
  <c r="AL8" i="46"/>
  <c r="AL11" i="46"/>
  <c r="AL41" i="43"/>
  <c r="AK41" i="45"/>
  <c r="AL56" i="43"/>
  <c r="E59" i="43"/>
  <c r="E22" i="45"/>
  <c r="AL57" i="45"/>
  <c r="AL21" i="45"/>
  <c r="E57" i="47"/>
  <c r="E38" i="47"/>
  <c r="AK42" i="43"/>
  <c r="E22" i="43"/>
  <c r="AL37" i="45"/>
  <c r="AK22" i="43"/>
  <c r="AL30" i="47"/>
  <c r="AL43" i="43"/>
  <c r="AK26" i="47"/>
  <c r="AK38" i="47"/>
  <c r="E12" i="43"/>
  <c r="AL23" i="45"/>
  <c r="E64" i="46"/>
  <c r="AL17" i="45"/>
  <c r="AK26" i="46"/>
  <c r="AL37" i="46"/>
  <c r="AK59" i="45"/>
  <c r="AL27" i="47"/>
  <c r="AL58" i="45"/>
  <c r="AL29" i="45"/>
  <c r="AK28" i="47"/>
  <c r="AL9" i="46"/>
  <c r="E37" i="46"/>
  <c r="AL35" i="46"/>
  <c r="AK50" i="47"/>
  <c r="AK12" i="46"/>
  <c r="AL54" i="46"/>
  <c r="E24" i="45"/>
  <c r="AL51" i="47"/>
  <c r="AK64" i="43"/>
  <c r="AK31" i="45"/>
  <c r="AL19" i="47"/>
  <c r="AL28" i="47"/>
  <c r="E35" i="45"/>
  <c r="AK54" i="46"/>
  <c r="AK13" i="45"/>
  <c r="E24" i="43"/>
  <c r="AL30" i="45"/>
  <c r="AK65" i="45"/>
  <c r="AL57" i="47"/>
  <c r="E33" i="47"/>
  <c r="AL17" i="43"/>
  <c r="AK49" i="45"/>
  <c r="E23" i="45"/>
  <c r="AK18" i="46"/>
  <c r="E9" i="43"/>
  <c r="AL43" i="47"/>
  <c r="AK43" i="46"/>
  <c r="E40" i="47"/>
  <c r="AK36" i="43"/>
  <c r="AK31" i="47"/>
  <c r="AL38" i="45"/>
  <c r="E53" i="43"/>
  <c r="E54" i="47"/>
  <c r="E7" i="43"/>
  <c r="AL35" i="45"/>
  <c r="AK23" i="43"/>
  <c r="E51" i="46"/>
  <c r="AL58" i="43"/>
  <c r="E37" i="43"/>
  <c r="AK18" i="45"/>
  <c r="E19" i="45"/>
  <c r="AL11" i="43"/>
  <c r="AK11" i="43"/>
  <c r="AL27" i="46"/>
  <c r="AK54" i="43"/>
  <c r="AK37" i="46"/>
  <c r="AK59" i="47"/>
  <c r="AK52" i="47"/>
  <c r="E49" i="45"/>
  <c r="AL54" i="47"/>
  <c r="AK44" i="47"/>
  <c r="E63" i="45"/>
  <c r="AK54" i="45"/>
  <c r="AL32" i="45"/>
  <c r="AK38" i="45"/>
  <c r="AK43" i="43"/>
  <c r="E28" i="46"/>
  <c r="AL14" i="47"/>
  <c r="E50" i="43"/>
  <c r="AL33" i="47"/>
  <c r="E40" i="46"/>
  <c r="E26" i="45"/>
  <c r="AK17" i="43"/>
  <c r="AL39" i="46"/>
  <c r="E53" i="47"/>
  <c r="AK60" i="46"/>
  <c r="AK58" i="46"/>
  <c r="E27" i="43"/>
  <c r="E17" i="43"/>
  <c r="AK7" i="43"/>
  <c r="AL45" i="47"/>
  <c r="E21" i="43"/>
  <c r="AK62" i="43"/>
  <c r="AL29" i="43"/>
  <c r="AL56" i="47"/>
  <c r="AL12" i="47"/>
  <c r="E62" i="45"/>
  <c r="E56" i="45"/>
  <c r="AL55" i="47"/>
  <c r="AK52" i="46"/>
  <c r="AK40" i="45"/>
  <c r="AL26" i="43"/>
  <c r="E18" i="46"/>
  <c r="E30" i="43"/>
  <c r="E27" i="45"/>
  <c r="AK7" i="47"/>
  <c r="AK47" i="46"/>
  <c r="AL10" i="46"/>
  <c r="AL48" i="45"/>
  <c r="AK35" i="45"/>
  <c r="E43" i="43"/>
  <c r="AK14" i="45"/>
  <c r="E52" i="43"/>
  <c r="AK43" i="45"/>
  <c r="E18" i="47"/>
  <c r="AL18" i="45"/>
  <c r="AK53" i="46"/>
  <c r="AK21" i="45"/>
  <c r="E59" i="45"/>
  <c r="AK18" i="43"/>
  <c r="AL24" i="47"/>
  <c r="AK56" i="45"/>
  <c r="AL38" i="46"/>
  <c r="AK64" i="47"/>
  <c r="AK20" i="47"/>
  <c r="AK30" i="43"/>
  <c r="AL36" i="45"/>
  <c r="E65" i="45"/>
  <c r="AK41" i="46"/>
  <c r="AL44" i="47"/>
  <c r="AK23" i="45"/>
  <c r="AK29" i="43"/>
  <c r="AK30" i="47"/>
  <c r="AL52" i="45"/>
  <c r="AK13" i="47"/>
  <c r="E54" i="45"/>
  <c r="AK16" i="47"/>
  <c r="E18" i="43"/>
  <c r="AK56" i="47"/>
  <c r="AL45" i="43"/>
  <c r="AK60" i="47"/>
  <c r="AL47" i="43"/>
  <c r="AL48" i="43"/>
  <c r="AK17" i="46"/>
  <c r="E48" i="46"/>
  <c r="AK53" i="45"/>
  <c r="AL30" i="43"/>
  <c r="AL34" i="45"/>
  <c r="E10" i="43"/>
  <c r="AK9" i="43"/>
  <c r="E52" i="45"/>
  <c r="AL24" i="43"/>
  <c r="AK42" i="47"/>
  <c r="E40" i="43"/>
  <c r="E47" i="46"/>
  <c r="AK15" i="46"/>
  <c r="E41" i="45"/>
  <c r="E48" i="47"/>
  <c r="AL18" i="46"/>
  <c r="E15" i="45"/>
  <c r="E42" i="45"/>
  <c r="E56" i="46"/>
  <c r="E16" i="43"/>
  <c r="AK63" i="45"/>
  <c r="AL13" i="46"/>
  <c r="E14" i="43"/>
  <c r="AL52" i="47"/>
  <c r="E38" i="46"/>
  <c r="AL39" i="47"/>
  <c r="AL64" i="46"/>
  <c r="AL43" i="46"/>
  <c r="AL32" i="43"/>
  <c r="AK53" i="43"/>
  <c r="AK19" i="46"/>
  <c r="AL37" i="47"/>
  <c r="AK16" i="43"/>
  <c r="AK39" i="47"/>
  <c r="E42" i="47"/>
  <c r="AK8" i="46"/>
  <c r="E35" i="46"/>
  <c r="E50" i="46"/>
  <c r="AK18" i="47"/>
  <c r="E39" i="45"/>
  <c r="E29" i="46"/>
  <c r="AL20" i="47"/>
  <c r="AL17" i="46"/>
  <c r="AK56" i="46"/>
  <c r="AK66" i="47"/>
  <c r="AK10" i="43"/>
  <c r="AK47" i="47"/>
  <c r="E62" i="46"/>
  <c r="AK32" i="43"/>
  <c r="E59" i="46"/>
  <c r="AK12" i="43"/>
  <c r="E43" i="45"/>
  <c r="E35" i="43"/>
  <c r="E34" i="43"/>
  <c r="E26" i="43"/>
  <c r="AL19" i="46"/>
  <c r="E23" i="47"/>
  <c r="AL46" i="46"/>
  <c r="E25" i="46"/>
  <c r="AL55" i="46"/>
  <c r="AK14" i="47"/>
  <c r="E51" i="43"/>
  <c r="AK49" i="46"/>
  <c r="AL63" i="46"/>
  <c r="AL35" i="43"/>
  <c r="AL42" i="46"/>
  <c r="AL14" i="45"/>
  <c r="E18" i="45"/>
  <c r="AL12" i="43"/>
  <c r="AL31" i="43"/>
  <c r="AL38" i="47"/>
  <c r="E38" i="45"/>
  <c r="AK34" i="45"/>
  <c r="E47" i="43"/>
  <c r="AL62" i="46"/>
  <c r="E35" i="47"/>
  <c r="AL60" i="47"/>
  <c r="E46" i="43"/>
  <c r="AK36" i="47"/>
  <c r="E24" i="46"/>
  <c r="E29" i="43"/>
  <c r="AK37" i="47"/>
  <c r="AK62" i="45"/>
  <c r="AK39" i="43"/>
  <c r="E40" i="45"/>
  <c r="AK15" i="43"/>
  <c r="AL15" i="43"/>
  <c r="E52" i="47"/>
  <c r="AL39" i="43"/>
  <c r="E33" i="43"/>
  <c r="AL26" i="47"/>
  <c r="E27" i="46"/>
  <c r="AK36" i="46"/>
  <c r="AL15" i="45"/>
  <c r="E56" i="43"/>
  <c r="E36" i="46"/>
  <c r="E55" i="46"/>
  <c r="AL60" i="46"/>
  <c r="AL63" i="43"/>
  <c r="AK35" i="46"/>
  <c r="AK31" i="43"/>
  <c r="AK46" i="43"/>
  <c r="E30" i="47"/>
  <c r="AL36" i="46"/>
  <c r="E26" i="46"/>
  <c r="AK17" i="47"/>
  <c r="AK45" i="46"/>
  <c r="AK8" i="47"/>
  <c r="AK58" i="45"/>
  <c r="AK21" i="43"/>
  <c r="AK25" i="47"/>
  <c r="AK55" i="46"/>
  <c r="AL49" i="47"/>
  <c r="AL29" i="46"/>
  <c r="E33" i="45"/>
  <c r="AL64" i="47"/>
  <c r="AK49" i="43"/>
  <c r="E55" i="47"/>
  <c r="E20" i="46"/>
  <c r="AL14" i="46"/>
  <c r="E58" i="45"/>
  <c r="E41" i="47"/>
  <c r="AK57" i="43"/>
  <c r="E22" i="47"/>
  <c r="E49" i="46"/>
  <c r="E15" i="43"/>
  <c r="AK10" i="46"/>
  <c r="AK28" i="43"/>
  <c r="AL50" i="43"/>
  <c r="AL53" i="47"/>
  <c r="E31" i="46"/>
  <c r="AK38" i="46"/>
  <c r="AK32" i="47"/>
  <c r="AK63" i="47"/>
  <c r="AL31" i="47"/>
  <c r="AL12" i="46"/>
  <c r="E43" i="46"/>
  <c r="AK38" i="43"/>
  <c r="AK33" i="43"/>
  <c r="AK26" i="45"/>
  <c r="AL54" i="43"/>
  <c r="AK12" i="45"/>
  <c r="AL25" i="45"/>
  <c r="E45" i="46"/>
  <c r="AL65" i="47"/>
  <c r="AK32" i="45"/>
  <c r="AL63" i="47"/>
  <c r="AK59" i="43"/>
  <c r="AK45" i="47"/>
  <c r="AL7" i="46"/>
  <c r="E36" i="47"/>
  <c r="AL9" i="47"/>
  <c r="E57" i="45"/>
  <c r="AK62" i="46"/>
  <c r="AL7" i="43"/>
  <c r="AK51" i="45"/>
  <c r="AK23" i="47"/>
  <c r="AL52" i="43"/>
  <c r="AL17" i="47"/>
  <c r="AK51" i="46"/>
  <c r="AK40" i="43"/>
  <c r="AK34" i="47"/>
  <c r="AK26" i="43"/>
  <c r="AK57" i="45"/>
  <c r="AK45" i="43"/>
  <c r="E20" i="43"/>
  <c r="E62" i="43"/>
  <c r="E64" i="43"/>
  <c r="AL44" i="46"/>
  <c r="E19" i="46"/>
  <c r="AK14" i="46"/>
  <c r="E49" i="43"/>
  <c r="E41" i="43"/>
  <c r="E59" i="47"/>
  <c r="AL13" i="47"/>
  <c r="AL65" i="46"/>
  <c r="AL63" i="45"/>
  <c r="AL42" i="47"/>
  <c r="E33" i="46"/>
  <c r="E17" i="47"/>
  <c r="AK11" i="46"/>
  <c r="E48" i="45"/>
  <c r="E36" i="43"/>
  <c r="AK9" i="47"/>
  <c r="AL16" i="43"/>
  <c r="E11" i="43"/>
  <c r="E25" i="43"/>
  <c r="E57" i="43"/>
  <c r="AL27" i="45"/>
  <c r="E49" i="47"/>
  <c r="AL8" i="47"/>
  <c r="AK40" i="47"/>
  <c r="AK53" i="47"/>
  <c r="AL49" i="43"/>
  <c r="AL31" i="45"/>
  <c r="AL20" i="43"/>
  <c r="AL64" i="45"/>
  <c r="AL59" i="46"/>
  <c r="AL34" i="47"/>
  <c r="AL62" i="43"/>
  <c r="AL59" i="43"/>
  <c r="E54" i="43"/>
  <c r="AL54" i="45"/>
  <c r="AK52" i="43"/>
  <c r="E39" i="43"/>
  <c r="AK27" i="46"/>
  <c r="AL45" i="45"/>
  <c r="E34" i="46"/>
  <c r="E51" i="47"/>
  <c r="AK13" i="46"/>
  <c r="E31" i="45"/>
  <c r="AL21" i="43"/>
  <c r="AL19" i="43"/>
  <c r="AK57" i="47"/>
  <c r="AK44" i="46"/>
  <c r="E55" i="43"/>
  <c r="E32" i="45"/>
  <c r="AL14" i="43"/>
  <c r="AK27" i="47"/>
  <c r="AL64" i="43"/>
  <c r="AL46" i="45"/>
  <c r="AK19" i="43"/>
  <c r="AL50" i="47"/>
  <c r="AL44" i="45"/>
  <c r="E60" i="47"/>
  <c r="AK42" i="46"/>
  <c r="AL19" i="45"/>
  <c r="E32" i="46"/>
  <c r="AK34" i="46"/>
  <c r="AL59" i="45"/>
  <c r="AL33" i="43"/>
  <c r="AL43" i="45"/>
  <c r="E44" i="45"/>
  <c r="AL10" i="43"/>
  <c r="AK54" i="47"/>
  <c r="AK25" i="43"/>
  <c r="E63" i="43"/>
  <c r="AL41" i="47"/>
  <c r="AK65" i="47"/>
  <c r="AL37" i="43"/>
  <c r="AL32" i="47"/>
  <c r="AK46" i="45"/>
  <c r="E31" i="47"/>
  <c r="AL56" i="45"/>
  <c r="AL25" i="43"/>
  <c r="AK36" i="45"/>
  <c r="AL44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AA12" i="47" s="1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2" i="43"/>
  <c r="AA14" i="49"/>
  <c r="V10" i="49"/>
  <c r="V14" i="49"/>
  <c r="U5" i="49"/>
  <c r="R5" i="49"/>
  <c r="AA8" i="47"/>
  <c r="AA9" i="45"/>
  <c r="P13" i="49"/>
  <c r="P10" i="49"/>
  <c r="AA11" i="47"/>
  <c r="O14" i="43"/>
  <c r="P13" i="43" s="1"/>
  <c r="AA11" i="43"/>
  <c r="AA9" i="43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8" i="45" l="1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P12" i="43"/>
  <c r="O5" i="43"/>
  <c r="S10" i="43"/>
  <c r="P10" i="43"/>
  <c r="P9" i="43"/>
  <c r="V10" i="43"/>
  <c r="S8" i="45"/>
  <c r="S9" i="45"/>
  <c r="V12" i="45"/>
  <c r="P11" i="47"/>
  <c r="P11" i="43"/>
  <c r="P8" i="43"/>
  <c r="R5" i="46"/>
  <c r="P14" i="43"/>
  <c r="V14" i="47"/>
  <c r="U5" i="47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V14" i="46" l="1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G14" i="40"/>
  <c r="AJ61" i="40"/>
  <c r="AK2" i="40" l="1"/>
  <c r="AL4" i="40"/>
  <c r="AL2" i="40" s="1"/>
  <c r="AL61" i="40"/>
  <c r="AK61" i="40"/>
  <c r="L14" i="40"/>
  <c r="M10" i="40" s="1"/>
  <c r="G10" i="40"/>
  <c r="AJ57" i="40"/>
  <c r="G16" i="40"/>
  <c r="G9" i="40"/>
  <c r="G54" i="40"/>
  <c r="AJ59" i="40"/>
  <c r="AJ47" i="40"/>
  <c r="AJ9" i="40"/>
  <c r="G21" i="40"/>
  <c r="G25" i="40"/>
  <c r="AJ38" i="40"/>
  <c r="AJ15" i="40"/>
  <c r="G27" i="40"/>
  <c r="E14" i="40"/>
  <c r="AJ16" i="40"/>
  <c r="G39" i="40"/>
  <c r="G40" i="40"/>
  <c r="AJ46" i="40"/>
  <c r="AJ50" i="40"/>
  <c r="G58" i="40"/>
  <c r="G17" i="40"/>
  <c r="AJ27" i="40"/>
  <c r="G38" i="40"/>
  <c r="G63" i="40"/>
  <c r="G15" i="40"/>
  <c r="AJ58" i="40"/>
  <c r="G24" i="40"/>
  <c r="AJ63" i="40"/>
  <c r="AJ12" i="40"/>
  <c r="AJ13" i="40"/>
  <c r="G51" i="40"/>
  <c r="G26" i="40"/>
  <c r="G42" i="40"/>
  <c r="G48" i="40"/>
  <c r="AJ36" i="40"/>
  <c r="AJ51" i="40"/>
  <c r="AJ26" i="40"/>
  <c r="G7" i="40"/>
  <c r="AJ56" i="40"/>
  <c r="G64" i="40"/>
  <c r="AJ7" i="40"/>
  <c r="G11" i="40"/>
  <c r="AJ14" i="40"/>
  <c r="AJ17" i="40"/>
  <c r="AJ18" i="40"/>
  <c r="AJ10" i="40"/>
  <c r="AJ44" i="40"/>
  <c r="G18" i="40"/>
  <c r="G23" i="40"/>
  <c r="G47" i="40"/>
  <c r="AJ49" i="40"/>
  <c r="AJ54" i="40"/>
  <c r="G45" i="40"/>
  <c r="AJ60" i="40"/>
  <c r="G19" i="40"/>
  <c r="AJ52" i="40"/>
  <c r="AJ62" i="40"/>
  <c r="G59" i="40"/>
  <c r="AJ42" i="40"/>
  <c r="AJ39" i="40"/>
  <c r="G49" i="40"/>
  <c r="AJ43" i="40"/>
  <c r="G22" i="40"/>
  <c r="AJ24" i="40"/>
  <c r="AJ33" i="40"/>
  <c r="G31" i="40"/>
  <c r="G41" i="40"/>
  <c r="AJ20" i="40"/>
  <c r="AJ21" i="40"/>
  <c r="AJ67" i="40"/>
  <c r="G43" i="40"/>
  <c r="AJ66" i="40"/>
  <c r="AJ48" i="40"/>
  <c r="G30" i="40"/>
  <c r="AJ65" i="40"/>
  <c r="G37" i="40"/>
  <c r="G52" i="40"/>
  <c r="AJ35" i="40"/>
  <c r="AJ29" i="40"/>
  <c r="G36" i="40"/>
  <c r="AJ8" i="40"/>
  <c r="AJ34" i="40"/>
  <c r="G29" i="40"/>
  <c r="AJ22" i="40"/>
  <c r="AJ37" i="40"/>
  <c r="G13" i="40"/>
  <c r="AJ28" i="40"/>
  <c r="G53" i="40"/>
  <c r="AJ55" i="40"/>
  <c r="G56" i="40"/>
  <c r="AJ25" i="40"/>
  <c r="AJ41" i="40"/>
  <c r="G35" i="40"/>
  <c r="AJ40" i="40"/>
  <c r="AJ64" i="40"/>
  <c r="G33" i="40"/>
  <c r="AJ32" i="40"/>
  <c r="AJ53" i="40"/>
  <c r="G12" i="40"/>
  <c r="G55" i="40"/>
  <c r="AJ23" i="40"/>
  <c r="G57" i="40"/>
  <c r="G32" i="40"/>
  <c r="AJ31" i="40"/>
  <c r="G50" i="40"/>
  <c r="G28" i="40"/>
  <c r="AJ30" i="40"/>
  <c r="AJ11" i="40"/>
  <c r="G44" i="40"/>
  <c r="AJ45" i="40"/>
  <c r="G62" i="40"/>
  <c r="G65" i="40"/>
  <c r="G34" i="40"/>
  <c r="G46" i="40"/>
  <c r="G8" i="40"/>
  <c r="AJ19" i="40"/>
  <c r="G20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AL39" i="40"/>
  <c r="AK9" i="40"/>
  <c r="AL62" i="40"/>
  <c r="AK11" i="40"/>
  <c r="AK40" i="40"/>
  <c r="E53" i="40"/>
  <c r="AL51" i="40"/>
  <c r="AL31" i="40"/>
  <c r="AL30" i="40"/>
  <c r="E27" i="40"/>
  <c r="AL35" i="40"/>
  <c r="AL53" i="40"/>
  <c r="AK50" i="40"/>
  <c r="E35" i="40"/>
  <c r="AL8" i="40"/>
  <c r="AK42" i="40"/>
  <c r="E65" i="40"/>
  <c r="AK32" i="40"/>
  <c r="AK46" i="40"/>
  <c r="AK62" i="40"/>
  <c r="AK21" i="40"/>
  <c r="E11" i="40"/>
  <c r="E33" i="40"/>
  <c r="E39" i="40"/>
  <c r="AL13" i="40"/>
  <c r="E50" i="40"/>
  <c r="E7" i="40"/>
  <c r="AL56" i="40"/>
  <c r="AL64" i="40"/>
  <c r="AL28" i="40"/>
  <c r="E23" i="40"/>
  <c r="AK53" i="40"/>
  <c r="AK10" i="40"/>
  <c r="AK15" i="40"/>
  <c r="AK29" i="40"/>
  <c r="AL14" i="40"/>
  <c r="AK27" i="40"/>
  <c r="E45" i="40"/>
  <c r="E57" i="40"/>
  <c r="E38" i="40"/>
  <c r="E40" i="40"/>
  <c r="AL63" i="40"/>
  <c r="E51" i="40"/>
  <c r="E43" i="40"/>
  <c r="AL57" i="40"/>
  <c r="AL52" i="40"/>
  <c r="E32" i="40"/>
  <c r="AL44" i="40"/>
  <c r="AL11" i="40"/>
  <c r="E20" i="40"/>
  <c r="E24" i="40"/>
  <c r="AK47" i="40"/>
  <c r="AL37" i="40"/>
  <c r="AK20" i="40"/>
  <c r="AK25" i="40"/>
  <c r="AL42" i="40"/>
  <c r="AK58" i="40"/>
  <c r="AL36" i="40"/>
  <c r="AL59" i="40"/>
  <c r="AK37" i="40"/>
  <c r="AK36" i="40"/>
  <c r="E58" i="40"/>
  <c r="AK8" i="40"/>
  <c r="AK51" i="40"/>
  <c r="E59" i="40"/>
  <c r="AK63" i="40"/>
  <c r="E46" i="40"/>
  <c r="E54" i="40"/>
  <c r="AK7" i="40"/>
  <c r="E41" i="40"/>
  <c r="E64" i="40"/>
  <c r="E28" i="40"/>
  <c r="AL40" i="40"/>
  <c r="AL45" i="40"/>
  <c r="AL32" i="40"/>
  <c r="AL7" i="40"/>
  <c r="E8" i="40"/>
  <c r="E15" i="40"/>
  <c r="E49" i="40"/>
  <c r="AL10" i="40"/>
  <c r="E47" i="40"/>
  <c r="AK24" i="40"/>
  <c r="E34" i="40"/>
  <c r="E56" i="40"/>
  <c r="AK26" i="40"/>
  <c r="E25" i="40"/>
  <c r="AL26" i="40"/>
  <c r="AK23" i="40"/>
  <c r="AK38" i="40"/>
  <c r="AK39" i="40"/>
  <c r="AK22" i="40"/>
  <c r="AL47" i="40"/>
  <c r="E12" i="40"/>
  <c r="AL20" i="40"/>
  <c r="E52" i="40"/>
  <c r="AK16" i="40"/>
  <c r="AL23" i="40"/>
  <c r="AK31" i="40"/>
  <c r="AL49" i="40"/>
  <c r="AK49" i="40"/>
  <c r="AL50" i="40"/>
  <c r="AL24" i="40"/>
  <c r="AK41" i="40"/>
  <c r="AK14" i="40"/>
  <c r="E22" i="40"/>
  <c r="E31" i="40"/>
  <c r="E10" i="40"/>
  <c r="E17" i="40"/>
  <c r="E29" i="40"/>
  <c r="AK43" i="40"/>
  <c r="AL15" i="40"/>
  <c r="E37" i="40"/>
  <c r="E42" i="40"/>
  <c r="AK34" i="40"/>
  <c r="AK54" i="40"/>
  <c r="E26" i="40"/>
  <c r="AL21" i="40"/>
  <c r="E36" i="40"/>
  <c r="AK19" i="40"/>
  <c r="E21" i="40"/>
  <c r="AK48" i="40"/>
  <c r="AL12" i="40"/>
  <c r="E18" i="40"/>
  <c r="AL54" i="40"/>
  <c r="AK45" i="40"/>
  <c r="AK55" i="40"/>
  <c r="AL55" i="40"/>
  <c r="AK35" i="40"/>
  <c r="E48" i="40"/>
  <c r="E16" i="40"/>
  <c r="AL16" i="40"/>
  <c r="AK18" i="40"/>
  <c r="AK52" i="40"/>
  <c r="E30" i="40"/>
  <c r="AL48" i="40"/>
  <c r="AL25" i="40"/>
  <c r="AL9" i="40"/>
  <c r="AK64" i="40"/>
  <c r="E55" i="40"/>
  <c r="AK65" i="40"/>
  <c r="E62" i="40"/>
  <c r="E44" i="40"/>
  <c r="AL46" i="40"/>
  <c r="AL41" i="40"/>
  <c r="AK12" i="40"/>
  <c r="E19" i="40"/>
  <c r="AK30" i="40"/>
  <c r="AK44" i="40"/>
  <c r="E13" i="40"/>
  <c r="AK17" i="40"/>
  <c r="AL43" i="40"/>
  <c r="AL65" i="40"/>
  <c r="E63" i="40"/>
  <c r="AK28" i="40"/>
  <c r="AL38" i="40"/>
  <c r="AL19" i="40"/>
  <c r="AL33" i="40"/>
  <c r="AL27" i="40"/>
  <c r="AK13" i="40"/>
  <c r="AK33" i="40"/>
  <c r="AL34" i="40"/>
  <c r="AL58" i="40"/>
  <c r="AL18" i="40"/>
  <c r="AK57" i="40"/>
  <c r="AL17" i="40"/>
  <c r="AK59" i="40"/>
  <c r="AL29" i="40"/>
  <c r="AL22" i="40"/>
  <c r="AK56" i="40"/>
  <c r="E9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21" i="7"/>
  <c r="AL31" i="7"/>
  <c r="AL1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55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50" i="34"/>
  <c r="G42" i="34"/>
  <c r="G21" i="34"/>
  <c r="G35" i="34"/>
  <c r="G18" i="34"/>
  <c r="G65" i="34"/>
  <c r="G56" i="34"/>
  <c r="G48" i="34"/>
  <c r="G47" i="34"/>
  <c r="G28" i="34"/>
  <c r="G27" i="34"/>
  <c r="G26" i="34"/>
  <c r="G41" i="34"/>
  <c r="G29" i="34"/>
  <c r="G45" i="34"/>
  <c r="E57" i="34"/>
  <c r="G64" i="34"/>
  <c r="G16" i="34"/>
  <c r="G14" i="34"/>
  <c r="G51" i="34"/>
  <c r="G36" i="34"/>
  <c r="E55" i="34"/>
  <c r="G63" i="34"/>
  <c r="G49" i="34"/>
  <c r="G40" i="34"/>
  <c r="G43" i="34"/>
  <c r="G34" i="34"/>
  <c r="G24" i="34"/>
  <c r="G53" i="34"/>
  <c r="G54" i="34"/>
  <c r="G19" i="34"/>
  <c r="G17" i="34"/>
  <c r="G59" i="34"/>
  <c r="G31" i="34"/>
  <c r="G33" i="34"/>
  <c r="G9" i="34"/>
  <c r="G58" i="34"/>
  <c r="G7" i="34"/>
  <c r="G44" i="34"/>
  <c r="G8" i="34"/>
  <c r="G20" i="34"/>
  <c r="G10" i="34"/>
  <c r="G62" i="34"/>
  <c r="G30" i="34"/>
  <c r="G46" i="34"/>
  <c r="G12" i="34"/>
  <c r="G52" i="34"/>
  <c r="G32" i="34"/>
  <c r="G23" i="34"/>
  <c r="G25" i="34"/>
  <c r="G38" i="34"/>
  <c r="G22" i="34"/>
  <c r="G13" i="34"/>
  <c r="G39" i="34"/>
  <c r="G15" i="34"/>
  <c r="G11" i="34"/>
  <c r="G3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9" i="34"/>
  <c r="E40" i="34"/>
  <c r="E22" i="34"/>
  <c r="E27" i="34"/>
  <c r="E37" i="34"/>
  <c r="E26" i="34"/>
  <c r="E9" i="34"/>
  <c r="E30" i="34"/>
  <c r="E53" i="34"/>
  <c r="E51" i="34"/>
  <c r="E16" i="34"/>
  <c r="E15" i="34"/>
  <c r="E62" i="34"/>
  <c r="E34" i="34"/>
  <c r="E43" i="34"/>
  <c r="E10" i="34"/>
  <c r="E32" i="34"/>
  <c r="E56" i="34"/>
  <c r="E35" i="34"/>
  <c r="E24" i="34"/>
  <c r="E41" i="34"/>
  <c r="E36" i="34"/>
  <c r="E59" i="34"/>
  <c r="E21" i="34"/>
  <c r="E44" i="34"/>
  <c r="E45" i="34"/>
  <c r="E19" i="34"/>
  <c r="E20" i="34"/>
  <c r="E38" i="34"/>
  <c r="E12" i="34"/>
  <c r="E54" i="34"/>
  <c r="E50" i="34"/>
  <c r="E42" i="34"/>
  <c r="E52" i="34"/>
  <c r="E33" i="34"/>
  <c r="E31" i="34"/>
  <c r="E7" i="34"/>
  <c r="E49" i="34"/>
  <c r="E14" i="34"/>
  <c r="E28" i="34"/>
  <c r="E17" i="34"/>
  <c r="E25" i="34"/>
  <c r="E63" i="34"/>
  <c r="E58" i="34"/>
  <c r="E48" i="34"/>
  <c r="E23" i="34"/>
  <c r="E64" i="34"/>
  <c r="E29" i="34"/>
  <c r="E65" i="34"/>
  <c r="E13" i="34"/>
  <c r="E11" i="34"/>
  <c r="E47" i="34"/>
  <c r="E46" i="34"/>
  <c r="E8" i="34"/>
  <c r="E18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11" i="7"/>
  <c r="AI21" i="7"/>
  <c r="AI3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47" i="34"/>
  <c r="AJ7" i="34"/>
  <c r="AK2" i="34" l="1"/>
  <c r="AL4" i="34"/>
  <c r="AL2" i="34" s="1"/>
  <c r="AJ58" i="34"/>
  <c r="AJ52" i="34"/>
  <c r="AJ56" i="34"/>
  <c r="AJ63" i="34"/>
  <c r="AJ53" i="34"/>
  <c r="AJ64" i="34"/>
  <c r="AJ22" i="34"/>
  <c r="AJ19" i="34"/>
  <c r="AJ41" i="34"/>
  <c r="AJ23" i="34"/>
  <c r="AJ30" i="34"/>
  <c r="AJ13" i="34"/>
  <c r="AJ48" i="34"/>
  <c r="AJ54" i="34"/>
  <c r="AJ11" i="34"/>
  <c r="AJ57" i="34"/>
  <c r="AJ38" i="34"/>
  <c r="AJ39" i="34"/>
  <c r="AJ51" i="34"/>
  <c r="AJ59" i="34"/>
  <c r="AJ12" i="34"/>
  <c r="AJ37" i="34"/>
  <c r="AJ65" i="34"/>
  <c r="AJ61" i="34"/>
  <c r="AJ43" i="34"/>
  <c r="AJ60" i="34"/>
  <c r="AJ26" i="34"/>
  <c r="AJ20" i="34"/>
  <c r="AJ15" i="34"/>
  <c r="AJ66" i="34"/>
  <c r="AJ17" i="34"/>
  <c r="AJ31" i="34"/>
  <c r="AJ16" i="34"/>
  <c r="AJ8" i="34"/>
  <c r="AJ28" i="34"/>
  <c r="AJ50" i="34"/>
  <c r="AJ33" i="34"/>
  <c r="AL35" i="34"/>
  <c r="AJ9" i="34"/>
  <c r="AJ55" i="34"/>
  <c r="AJ18" i="34"/>
  <c r="AJ46" i="34"/>
  <c r="AJ42" i="34"/>
  <c r="AJ34" i="34"/>
  <c r="AJ40" i="34"/>
  <c r="AJ67" i="34"/>
  <c r="AJ21" i="34"/>
  <c r="AJ24" i="34"/>
  <c r="AJ62" i="34"/>
  <c r="AJ45" i="34"/>
  <c r="AK35" i="34"/>
  <c r="AJ49" i="34"/>
  <c r="AJ1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K57" i="34"/>
  <c r="AK59" i="34"/>
  <c r="AK53" i="34"/>
  <c r="AJ44" i="34"/>
  <c r="AL30" i="34"/>
  <c r="AJ29" i="34"/>
  <c r="AK30" i="34"/>
  <c r="AK17" i="34"/>
  <c r="AK12" i="34"/>
  <c r="AL16" i="34"/>
  <c r="AL13" i="34"/>
  <c r="AL53" i="34"/>
  <c r="AL10" i="34"/>
  <c r="AL15" i="34"/>
  <c r="AL63" i="34"/>
  <c r="AK54" i="34"/>
  <c r="AL40" i="34"/>
  <c r="AL22" i="34"/>
  <c r="AL56" i="34"/>
  <c r="AL59" i="34"/>
  <c r="AL11" i="34"/>
  <c r="AL50" i="34"/>
  <c r="AL51" i="34"/>
  <c r="AL54" i="34"/>
  <c r="AL20" i="34"/>
  <c r="AJ14" i="34"/>
  <c r="AK56" i="34"/>
  <c r="AL23" i="34"/>
  <c r="AL26" i="34"/>
  <c r="AK58" i="34"/>
  <c r="AL48" i="34"/>
  <c r="AL38" i="34"/>
  <c r="AL41" i="34"/>
  <c r="AK15" i="34"/>
  <c r="AK47" i="34"/>
  <c r="AL17" i="34"/>
  <c r="AK19" i="34"/>
  <c r="AK9" i="34"/>
  <c r="AK46" i="34"/>
  <c r="AL62" i="34"/>
  <c r="AL8" i="34"/>
  <c r="AK50" i="34"/>
  <c r="AL39" i="34"/>
  <c r="AL31" i="34"/>
  <c r="AK40" i="34"/>
  <c r="AK10" i="34"/>
  <c r="AL58" i="34"/>
  <c r="AK52" i="34"/>
  <c r="AK41" i="34"/>
  <c r="AK64" i="34"/>
  <c r="AK7" i="34"/>
  <c r="AK62" i="34"/>
  <c r="AL47" i="34"/>
  <c r="AK45" i="34"/>
  <c r="AK37" i="34"/>
  <c r="AL45" i="34"/>
  <c r="AK22" i="34"/>
  <c r="AK13" i="34"/>
  <c r="AL55" i="34"/>
  <c r="AJ36" i="34"/>
  <c r="AL12" i="34"/>
  <c r="AK65" i="34"/>
  <c r="AL24" i="34"/>
  <c r="AK24" i="34"/>
  <c r="AL52" i="34"/>
  <c r="AL65" i="34"/>
  <c r="AK21" i="34"/>
  <c r="AK49" i="34"/>
  <c r="AL46" i="34"/>
  <c r="AK16" i="34"/>
  <c r="AK34" i="34"/>
  <c r="AK23" i="34"/>
  <c r="AK20" i="34"/>
  <c r="AL34" i="34"/>
  <c r="AK63" i="34"/>
  <c r="AL28" i="34"/>
  <c r="AK8" i="34"/>
  <c r="AK51" i="34"/>
  <c r="AK39" i="34"/>
  <c r="AK38" i="34"/>
  <c r="AL21" i="34"/>
  <c r="AL7" i="34"/>
  <c r="AL33" i="34"/>
  <c r="AL19" i="34"/>
  <c r="AK33" i="34"/>
  <c r="AK42" i="34"/>
  <c r="AK28" i="34"/>
  <c r="AL37" i="34"/>
  <c r="AL42" i="34"/>
  <c r="AL9" i="34"/>
  <c r="AL49" i="34"/>
  <c r="AL43" i="34"/>
  <c r="AK26" i="34"/>
  <c r="AK11" i="34"/>
  <c r="AK31" i="34"/>
  <c r="AK43" i="34"/>
  <c r="AK18" i="34"/>
  <c r="AL18" i="34"/>
  <c r="AK48" i="34"/>
  <c r="AJ25" i="34"/>
  <c r="AL64" i="34"/>
  <c r="AK55" i="34"/>
  <c r="AJ32" i="34"/>
  <c r="AL57" i="34"/>
  <c r="AJ2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14" i="34"/>
  <c r="AK29" i="34"/>
  <c r="AK36" i="34"/>
  <c r="AK32" i="34"/>
  <c r="AL25" i="34"/>
  <c r="AL36" i="34"/>
  <c r="AK44" i="34"/>
  <c r="AK27" i="34"/>
  <c r="AL27" i="34"/>
  <c r="AL32" i="34"/>
  <c r="AL29" i="34"/>
  <c r="AK14" i="34"/>
  <c r="AK25" i="34"/>
  <c r="AL44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Q12" i="7"/>
  <c r="BM12" i="7"/>
  <c r="BQ22" i="7" l="1"/>
  <c r="BQ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BJ12" i="7"/>
  <c r="AR12" i="7"/>
  <c r="BG22" i="7"/>
  <c r="BJ22" i="7"/>
  <c r="BA12" i="7"/>
  <c r="AX12" i="7"/>
  <c r="AI12" i="7"/>
  <c r="BG13" i="7"/>
  <c r="BM13" i="7"/>
  <c r="BJ13" i="7"/>
  <c r="AU12" i="7"/>
  <c r="AL12" i="7"/>
  <c r="BA22" i="7"/>
  <c r="BM22" i="7"/>
  <c r="AU22" i="7"/>
  <c r="BD12" i="7"/>
  <c r="BG12" i="7"/>
  <c r="AO12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X16" i="10" s="1"/>
  <c r="F14" i="17"/>
  <c r="H14" i="25"/>
  <c r="M52" i="5"/>
  <c r="U52" i="5"/>
  <c r="E58" i="5"/>
  <c r="AO58" i="5"/>
  <c r="AA26" i="7"/>
  <c r="AX22" i="7"/>
  <c r="AO13" i="7"/>
  <c r="AU13" i="7"/>
  <c r="BA13" i="7"/>
  <c r="AL22" i="7"/>
  <c r="AX13" i="7"/>
  <c r="AI22" i="7"/>
  <c r="BD13" i="7"/>
  <c r="AR13" i="7"/>
  <c r="BD22" i="7"/>
  <c r="AI13" i="7"/>
  <c r="AL13" i="7"/>
  <c r="AO22" i="7"/>
  <c r="AR22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Q23" i="7"/>
  <c r="BQ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BA23" i="7"/>
  <c r="BG23" i="7"/>
  <c r="AR23" i="7"/>
  <c r="AL32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Q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Q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AU23" i="7"/>
  <c r="BJ23" i="7"/>
  <c r="AI32" i="7"/>
  <c r="AU33" i="7"/>
  <c r="AO23" i="7"/>
  <c r="AU32" i="7"/>
  <c r="AO32" i="7"/>
  <c r="AX23" i="7"/>
  <c r="BM23" i="7"/>
  <c r="AI23" i="7"/>
  <c r="AL23" i="7"/>
  <c r="BD23" i="7"/>
  <c r="AR32" i="7"/>
  <c r="BM14" i="7"/>
  <c r="BA14" i="7"/>
  <c r="U16" i="10" l="1"/>
  <c r="O16" i="10"/>
  <c r="W16" i="10" s="1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Q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Q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I33" i="7"/>
  <c r="BD14" i="7"/>
  <c r="AL33" i="7"/>
  <c r="AO14" i="7"/>
  <c r="BJ15" i="7"/>
  <c r="BM24" i="7"/>
  <c r="AO33" i="7"/>
  <c r="AI14" i="7"/>
  <c r="AU14" i="7"/>
  <c r="AR33" i="7"/>
  <c r="AR14" i="7"/>
  <c r="AL14" i="7"/>
  <c r="BJ14" i="7"/>
  <c r="BG14" i="7"/>
  <c r="AX14" i="7"/>
  <c r="BG24" i="7"/>
  <c r="AU15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Q25" i="7"/>
  <c r="BQ34" i="7"/>
  <c r="BQ16" i="7"/>
  <c r="BM15" i="7"/>
  <c r="BJ16" i="7"/>
  <c r="BD15" i="7"/>
  <c r="BA15" i="7"/>
  <c r="AX15" i="7"/>
  <c r="AO24" i="7"/>
  <c r="AR15" i="7"/>
  <c r="BA24" i="7"/>
  <c r="AX24" i="7"/>
  <c r="AL34" i="7"/>
  <c r="AU24" i="7"/>
  <c r="AO15" i="7"/>
  <c r="AI15" i="7"/>
  <c r="AI24" i="7"/>
  <c r="AL24" i="7"/>
  <c r="BA16" i="7"/>
  <c r="BG16" i="7"/>
  <c r="AR24" i="7"/>
  <c r="BJ24" i="7"/>
  <c r="BD24" i="7"/>
  <c r="BG15" i="7"/>
  <c r="AL15" i="7"/>
  <c r="BJ25" i="7"/>
  <c r="BG17" i="7" l="1"/>
  <c r="BJ17" i="7"/>
  <c r="BK16" i="7" s="1"/>
  <c r="BA17" i="7"/>
  <c r="BB16" i="7" s="1"/>
  <c r="BG25" i="7"/>
  <c r="AO16" i="7"/>
  <c r="AI34" i="7"/>
  <c r="AR34" i="7"/>
  <c r="AX16" i="7"/>
  <c r="AU34" i="7"/>
  <c r="BM16" i="7"/>
  <c r="AL16" i="7"/>
  <c r="AO34" i="7"/>
  <c r="AX25" i="7"/>
  <c r="BM25" i="7"/>
  <c r="AI16" i="7"/>
  <c r="AL25" i="7"/>
  <c r="BD16" i="7"/>
  <c r="BD25" i="7"/>
  <c r="AR16" i="7"/>
  <c r="AO25" i="7"/>
  <c r="BA25" i="7"/>
  <c r="AU25" i="7"/>
  <c r="AR25" i="7"/>
  <c r="AU16" i="7"/>
  <c r="AI25" i="7"/>
  <c r="BM17" i="7" l="1"/>
  <c r="BN11" i="7" s="1"/>
  <c r="BN12" i="7"/>
  <c r="BN13" i="7"/>
  <c r="BN14" i="7"/>
  <c r="BN15" i="7"/>
  <c r="BN16" i="7"/>
  <c r="BH13" i="7"/>
  <c r="BH11" i="7"/>
  <c r="BH12" i="7"/>
  <c r="BH14" i="7"/>
  <c r="BH15" i="7"/>
  <c r="BH16" i="7"/>
  <c r="BD17" i="7"/>
  <c r="BE16" i="7" s="1"/>
  <c r="BK11" i="7"/>
  <c r="BK12" i="7"/>
  <c r="BK13" i="7"/>
  <c r="BK14" i="7"/>
  <c r="BK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Q35" i="7"/>
  <c r="BQ26" i="7"/>
  <c r="AI17" i="7"/>
  <c r="AU35" i="7"/>
  <c r="AL26" i="7"/>
  <c r="BN17" i="7" l="1"/>
  <c r="BH17" i="7"/>
  <c r="BE11" i="7"/>
  <c r="BE12" i="7"/>
  <c r="BE13" i="7"/>
  <c r="BE14" i="7"/>
  <c r="BE15" i="7"/>
  <c r="BK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AR26" i="7"/>
  <c r="BM26" i="7"/>
  <c r="BA26" i="7"/>
  <c r="AO35" i="7"/>
  <c r="AI26" i="7"/>
  <c r="AU26" i="7"/>
  <c r="BD26" i="7"/>
  <c r="AR35" i="7"/>
  <c r="BG26" i="7"/>
  <c r="BJ26" i="7"/>
  <c r="AO26" i="7"/>
  <c r="AI35" i="7"/>
  <c r="AX26" i="7"/>
  <c r="AL35" i="7"/>
  <c r="BM27" i="7" l="1"/>
  <c r="BN26" i="7" s="1"/>
  <c r="BG27" i="7"/>
  <c r="BH26" i="7" s="1"/>
  <c r="BN22" i="7"/>
  <c r="BN23" i="7"/>
  <c r="BN24" i="7"/>
  <c r="BJ27" i="7"/>
  <c r="BK21" i="7" s="1"/>
  <c r="BH21" i="7"/>
  <c r="BH24" i="7"/>
  <c r="BA27" i="7"/>
  <c r="BB26" i="7" s="1"/>
  <c r="BD27" i="7"/>
  <c r="BE17" i="7"/>
  <c r="AP17" i="7"/>
  <c r="AU27" i="7"/>
  <c r="AV23" i="7" s="1"/>
  <c r="AV17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Q36" i="7"/>
  <c r="AM12" i="7"/>
  <c r="AM13" i="7"/>
  <c r="AM11" i="7"/>
  <c r="AM14" i="7"/>
  <c r="AM15" i="7"/>
  <c r="AO36" i="7"/>
  <c r="BH25" i="7" l="1"/>
  <c r="BK23" i="7"/>
  <c r="BN25" i="7"/>
  <c r="BN21" i="7"/>
  <c r="BN27" i="7" s="1"/>
  <c r="BH22" i="7"/>
  <c r="BB21" i="7"/>
  <c r="BH23" i="7"/>
  <c r="BH27" i="7" s="1"/>
  <c r="BK24" i="7"/>
  <c r="BK26" i="7"/>
  <c r="BK22" i="7"/>
  <c r="BK25" i="7"/>
  <c r="BB22" i="7"/>
  <c r="BB24" i="7"/>
  <c r="BB25" i="7"/>
  <c r="BB23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U36" i="7"/>
  <c r="AL36" i="7"/>
  <c r="AR36" i="7"/>
  <c r="AI36" i="7"/>
  <c r="BK27" i="7" l="1"/>
  <c r="BB27" i="7"/>
  <c r="BE27" i="7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>
  <authors>
    <author>Zhang, Wenni</author>
  </authors>
  <commentList>
    <comment ref="CI31" authorId="0" shapeId="0">
      <text>
        <r>
          <rPr>
            <b/>
            <sz val="9"/>
            <color indexed="81"/>
            <rFont val="Tahoma"/>
            <charset val="1"/>
          </rPr>
          <t>Zhang, Wenni:</t>
        </r>
        <r>
          <rPr>
            <sz val="9"/>
            <color indexed="81"/>
            <rFont val="Tahoma"/>
            <charset val="1"/>
          </rPr>
          <t xml:space="preserve">
include upgrade of PPL new subsidiary Narragansett Electric</t>
        </r>
      </text>
    </comment>
    <comment ref="CI33" authorId="0" shapeId="0">
      <text>
        <r>
          <rPr>
            <b/>
            <sz val="9"/>
            <color indexed="81"/>
            <rFont val="Tahoma"/>
            <charset val="1"/>
          </rPr>
          <t>Zhang, Wenni:</t>
        </r>
        <r>
          <rPr>
            <sz val="9"/>
            <color indexed="81"/>
            <rFont val="Tahoma"/>
            <charset val="1"/>
          </rPr>
          <t xml:space="preserve">
include upgrade of PPL new subsidiary Narragansett Electric</t>
        </r>
      </text>
    </comment>
  </commentList>
</comments>
</file>

<file path=xl/comments2.xml><?xml version="1.0" encoding="utf-8"?>
<comments xmlns="http://schemas.openxmlformats.org/spreadsheetml/2006/main">
  <authors>
    <author>Aaron Trent</author>
  </authors>
  <commentList>
    <comment ref="BM7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prior year end</t>
        </r>
      </text>
    </comment>
  </commentList>
</comments>
</file>

<file path=xl/comments3.xml><?xml version="1.0" encoding="utf-8"?>
<comments xmlns="http://schemas.openxmlformats.org/spreadsheetml/2006/main">
  <authors>
    <author>Buckley, Michael</author>
  </authors>
  <commentList>
    <comment ref="D38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Modified to align with 2018Q2</t>
        </r>
      </text>
    </comment>
  </commentList>
</comments>
</file>

<file path=xl/comments4.xml><?xml version="1.0" encoding="utf-8"?>
<comments xmlns="http://schemas.openxmlformats.org/spreadsheetml/2006/main">
  <authors>
    <author>Michael Buckley</author>
  </authors>
  <commentList>
    <comment ref="AK33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Hardwired for Q1 only so Oncor isn't mistakingly marked as "upgrade".  Need to reinstate the formula here in 2017 Q2</t>
        </r>
      </text>
    </comment>
  </commentList>
</comments>
</file>

<file path=xl/comments5.xml><?xml version="1.0" encoding="utf-8"?>
<comments xmlns="http://schemas.openxmlformats.org/spreadsheetml/2006/main">
  <authors>
    <author>Michael Buckley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6.xml><?xml version="1.0" encoding="utf-8"?>
<comments xmlns="http://schemas.openxmlformats.org/spreadsheetml/2006/main">
  <authors>
    <author>Aaron Trent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7.xml><?xml version="1.0" encoding="utf-8"?>
<comments xmlns="http://schemas.openxmlformats.org/spreadsheetml/2006/main">
  <authors>
    <author>Buckley, Michael</author>
  </authors>
  <commentList>
    <comment ref="C50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Removed due to M&amp;A activity in 2018</t>
        </r>
      </text>
    </comment>
  </commentList>
</comments>
</file>

<file path=xl/comments8.xml><?xml version="1.0" encoding="utf-8"?>
<comments xmlns="http://schemas.openxmlformats.org/spreadsheetml/2006/main">
  <authors>
    <author>Michael Buckley</author>
  </authors>
  <commentList>
    <comment ref="D56" authorId="0" shapeId="0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<sst xmlns="http://schemas.openxmlformats.org/spreadsheetml/2006/main" count="21376" uniqueCount="628">
  <si>
    <t>II.  Upgrades &amp; Downgrades</t>
  </si>
  <si>
    <t>Note:  Chart depicts the number of upgrades / downgrades for all rated companies, including subsidiaries, during the quarter.</t>
  </si>
  <si>
    <t>Source:  S&amp;P Global Market Intelligence and EEI Finance Dept.</t>
  </si>
  <si>
    <t>Note:  Chart depicts the number of occurrences and includes each event, even if multiple downgrades occurred for a single company.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</si>
  <si>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</si>
  <si>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</si>
  <si>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</si>
  <si>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</si>
  <si>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</si>
  <si>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</si>
  <si>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</si>
  <si>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</si>
  <si>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</si>
  <si>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</si>
  <si>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</si>
  <si>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</si>
  <si>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</si>
  <si>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</si>
  <si>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</si>
  <si>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</si>
  <si>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</si>
  <si>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</si>
  <si>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</si>
  <si>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</si>
  <si>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</si>
  <si>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</si>
  <si>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</si>
  <si>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</si>
  <si>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</si>
  <si>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</si>
  <si>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</si>
  <si>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</si>
  <si>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</si>
  <si>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</si>
  <si>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</si>
  <si>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</si>
  <si>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</si>
  <si>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</si>
  <si>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</si>
  <si>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</si>
  <si>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</si>
  <si>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</si>
  <si>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</si>
  <si>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</si>
  <si>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</si>
  <si>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</si>
  <si>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</si>
  <si>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</si>
  <si>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</si>
  <si>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</si>
  <si>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</si>
  <si>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</si>
  <si>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</si>
  <si>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</si>
  <si>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</si>
  <si>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</si>
  <si>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</si>
  <si>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</si>
  <si>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</si>
  <si>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</si>
  <si>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</si>
  <si>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</si>
  <si>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</si>
  <si>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</si>
  <si>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</si>
  <si>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</si>
  <si>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</si>
  <si>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</si>
  <si>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</si>
  <si>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</si>
  <si>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</si>
  <si>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</si>
  <si>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</si>
  <si>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</si>
  <si>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</si>
  <si>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</si>
  <si>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</si>
  <si>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</si>
  <si>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</si>
  <si>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</si>
  <si>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</si>
  <si>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</si>
  <si>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</si>
  <si>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</si>
  <si>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</si>
  <si>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</si>
  <si>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</si>
  <si>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</si>
  <si>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</si>
  <si>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</si>
  <si>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</si>
  <si>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</si>
  <si>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Fitch (upgrade)</t>
  </si>
  <si>
    <t>Fitch (downgrade)</t>
  </si>
  <si>
    <t>Moody's (upgrade)</t>
  </si>
  <si>
    <t>Moody's (downgrade)</t>
  </si>
  <si>
    <t>Standard &amp; Poor's (upgrade)</t>
  </si>
  <si>
    <t>Standard &amp; Poor's (downgrade)</t>
  </si>
  <si>
    <t>.</t>
  </si>
  <si>
    <t>Fitch (activity)</t>
  </si>
  <si>
    <t>Moody's (activity)</t>
  </si>
  <si>
    <t>Standard &amp; Poor's (activity)</t>
  </si>
  <si>
    <t>Annual Activity</t>
  </si>
  <si>
    <t>Quarterly Upgrade</t>
  </si>
  <si>
    <t>Quarterly Downgrade</t>
  </si>
  <si>
    <t>Quarterly Activity</t>
  </si>
  <si>
    <t>Annual Upgrade</t>
  </si>
  <si>
    <t>Annual Downgrade</t>
  </si>
  <si>
    <t>III.  Total Ratings Actions</t>
  </si>
  <si>
    <t>Rating Agency Activity</t>
  </si>
  <si>
    <t>U.S. Investor-Owned Electric Utility Industry</t>
  </si>
  <si>
    <t>Total Rating Activity</t>
  </si>
  <si>
    <t>Fitch</t>
  </si>
  <si>
    <t xml:space="preserve">Moody's </t>
  </si>
  <si>
    <t>Standard &amp; Poor's</t>
  </si>
  <si>
    <t xml:space="preserve">Total </t>
  </si>
  <si>
    <t>IV.  Direction of Ratings Actions</t>
  </si>
  <si>
    <t>Direction of Ratings Actions</t>
  </si>
  <si>
    <t>Upgrades</t>
  </si>
  <si>
    <t>Downgrades</t>
  </si>
  <si>
    <t>% Upgrades</t>
  </si>
  <si>
    <t>Upgrades = Downgrades</t>
  </si>
  <si>
    <t>Source: Fitch Ratings, Moody's, Standard &amp; Poor's</t>
  </si>
  <si>
    <t>V.  S&amp;P Ratings by Category</t>
  </si>
  <si>
    <t>S&amp;P Utility Credit Rating Distribution by Category</t>
  </si>
  <si>
    <t>'Credit_2012Q4'</t>
  </si>
  <si>
    <t>'Credit_2013Q4'</t>
  </si>
  <si>
    <t>'Credit_2014Q4'</t>
  </si>
  <si>
    <t>'Credit_2015Q4'</t>
  </si>
  <si>
    <t>'Credit_2016Q4'</t>
  </si>
  <si>
    <t>'Credit_2017Q4'</t>
  </si>
  <si>
    <t>'Credit_2018Q4'</t>
  </si>
  <si>
    <t>'Credit_2019Q4'</t>
  </si>
  <si>
    <t>'Credit_2020Q4'</t>
  </si>
  <si>
    <t>'Credit_2021Q4'</t>
  </si>
  <si>
    <t>'Credit_2022Q2'</t>
  </si>
  <si>
    <t>12/31/2007r</t>
  </si>
  <si>
    <t>12/31/2008r</t>
  </si>
  <si>
    <t>b6</t>
  </si>
  <si>
    <t>#</t>
  </si>
  <si>
    <t>%</t>
  </si>
  <si>
    <t>Regulated</t>
  </si>
  <si>
    <t>A or higher</t>
  </si>
  <si>
    <t>o</t>
  </si>
  <si>
    <t>A-</t>
  </si>
  <si>
    <t>BBB+</t>
  </si>
  <si>
    <t>BBB</t>
  </si>
  <si>
    <t>BBB-</t>
  </si>
  <si>
    <t>Below BBB-</t>
  </si>
  <si>
    <t>Total</t>
  </si>
  <si>
    <t>Mostly Regulated</t>
  </si>
  <si>
    <t>r</t>
  </si>
  <si>
    <t>Diversified</t>
  </si>
  <si>
    <t>u</t>
  </si>
  <si>
    <t>Sources:  Standard &amp; Poor's, S&amp;P Global Market Intelligence, and EEI Finance Dept.</t>
  </si>
  <si>
    <t>Credit Ratings Scales</t>
  </si>
  <si>
    <t>Investment Grade</t>
  </si>
  <si>
    <t>MOODY'S</t>
  </si>
  <si>
    <t>S&amp;P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</si>
  <si>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</si>
  <si>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</si>
  <si>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</si>
  <si>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</si>
  <si>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</si>
  <si>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</si>
  <si>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</si>
  <si>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</si>
  <si>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</si>
  <si>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</si>
  <si>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</si>
  <si>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</si>
  <si>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</t>
  </si>
  <si>
    <t>A3</t>
  </si>
  <si>
    <t>Baa1</t>
  </si>
  <si>
    <t>Baa2</t>
  </si>
  <si>
    <t>Baa3</t>
  </si>
  <si>
    <t>Speculative Grade</t>
  </si>
  <si>
    <t>Ba1</t>
  </si>
  <si>
    <t>BB+</t>
  </si>
  <si>
    <t>Ba2</t>
  </si>
  <si>
    <t>BB</t>
  </si>
  <si>
    <t>Ba3</t>
  </si>
  <si>
    <t>BB-</t>
  </si>
  <si>
    <t>B1</t>
  </si>
  <si>
    <t>B+</t>
  </si>
  <si>
    <t>B2</t>
  </si>
  <si>
    <t>B</t>
  </si>
  <si>
    <t>B3</t>
  </si>
  <si>
    <t>B-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</si>
  <si>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</si>
  <si>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</si>
  <si>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</si>
  <si>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</si>
  <si>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</si>
  <si>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</si>
  <si>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</si>
  <si>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</si>
  <si>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</si>
  <si>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</si>
  <si>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D</t>
  </si>
  <si>
    <t>e3</t>
  </si>
  <si>
    <t>Group</t>
  </si>
  <si>
    <t>Up</t>
  </si>
  <si>
    <t>Down</t>
  </si>
  <si>
    <t>Match</t>
  </si>
  <si>
    <t>Previous</t>
  </si>
  <si>
    <t>Comparison Period</t>
  </si>
  <si>
    <t>Reg_Percent_2021</t>
  </si>
  <si>
    <t>R</t>
  </si>
  <si>
    <t>MR</t>
  </si>
  <si>
    <t>d:d</t>
  </si>
  <si>
    <t>b1</t>
  </si>
  <si>
    <t>c1</t>
  </si>
  <si>
    <t>e1</t>
  </si>
  <si>
    <t>Category</t>
  </si>
  <si>
    <t>Rating</t>
  </si>
  <si>
    <t>'Credit_2022Q1'!</t>
  </si>
  <si>
    <t>Company Name</t>
  </si>
  <si>
    <t>2022 Q2</t>
  </si>
  <si>
    <t>Score</t>
  </si>
  <si>
    <t>Berkshire Energy Holdings Company</t>
  </si>
  <si>
    <t>**BRK</t>
  </si>
  <si>
    <t>ALLETE, Inc.</t>
  </si>
  <si>
    <t>ALE</t>
  </si>
  <si>
    <t>Alliant Energy Corporation</t>
  </si>
  <si>
    <t>LNT</t>
  </si>
  <si>
    <t>&gt;20</t>
  </si>
  <si>
    <t>American Electric Power Company, Inc.</t>
  </si>
  <si>
    <t>AEP</t>
  </si>
  <si>
    <t>=20</t>
  </si>
  <si>
    <t>Ameren Corporation</t>
  </si>
  <si>
    <t>AEE</t>
  </si>
  <si>
    <t>Consolidated Edison, Inc.</t>
  </si>
  <si>
    <t>ED</t>
  </si>
  <si>
    <t>=19</t>
  </si>
  <si>
    <t>Evergy, Inc.</t>
  </si>
  <si>
    <t>EVRG</t>
  </si>
  <si>
    <t>=18</t>
  </si>
  <si>
    <t>AVANGRID, Inc.</t>
  </si>
  <si>
    <t>AGR</t>
  </si>
  <si>
    <t>Eversource Energy</t>
  </si>
  <si>
    <t>ES</t>
  </si>
  <si>
    <t>=17</t>
  </si>
  <si>
    <t>Avista Corporation</t>
  </si>
  <si>
    <t>AVA</t>
  </si>
  <si>
    <t>NextEra Energy, Inc.</t>
  </si>
  <si>
    <t>NEE</t>
  </si>
  <si>
    <t>&lt;17</t>
  </si>
  <si>
    <t>PPL Corporation</t>
  </si>
  <si>
    <t>PPL</t>
  </si>
  <si>
    <t>Black Hills Corporation</t>
  </si>
  <si>
    <t>BKH</t>
  </si>
  <si>
    <t>Wisconsin Energy Corporation</t>
  </si>
  <si>
    <t>WEC</t>
  </si>
  <si>
    <t>CenterPoint Energy, Inc.</t>
  </si>
  <si>
    <t>CNP</t>
  </si>
  <si>
    <t>Xcel Energy Inc.</t>
  </si>
  <si>
    <t>XEL</t>
  </si>
  <si>
    <t>Average Rating</t>
  </si>
  <si>
    <t>Cleco Corporation</t>
  </si>
  <si>
    <t>**CNL</t>
  </si>
  <si>
    <t>CMS Energy Corporation</t>
  </si>
  <si>
    <t>CMS</t>
  </si>
  <si>
    <t>Dominion Energy, Inc.</t>
  </si>
  <si>
    <t>DPL Inc.</t>
  </si>
  <si>
    <t>**DPL</t>
  </si>
  <si>
    <t>DTE Energy Company</t>
  </si>
  <si>
    <t>DTE</t>
  </si>
  <si>
    <t>Duke Energy Corporation</t>
  </si>
  <si>
    <t>DUK</t>
  </si>
  <si>
    <t>Edison International</t>
  </si>
  <si>
    <t>EIX</t>
  </si>
  <si>
    <t>Entergy Corporation</t>
  </si>
  <si>
    <t>ETR</t>
  </si>
  <si>
    <t>Exelon Corporation</t>
  </si>
  <si>
    <t>EXC</t>
  </si>
  <si>
    <t>MDU Resources Group, Inc.</t>
  </si>
  <si>
    <t>MDU</t>
  </si>
  <si>
    <t>NiSource Inc.</t>
  </si>
  <si>
    <t>NI</t>
  </si>
  <si>
    <t>FirstEnergy Corp.</t>
  </si>
  <si>
    <t>FE</t>
  </si>
  <si>
    <t>OGE Energy Corp.</t>
  </si>
  <si>
    <t>OGE</t>
  </si>
  <si>
    <t>Hawaiian Electric Industries, Inc.</t>
  </si>
  <si>
    <t>HE</t>
  </si>
  <si>
    <t>Pinnacle West Capital Corporation</t>
  </si>
  <si>
    <t>PNW</t>
  </si>
  <si>
    <t>IDACORP, Inc.</t>
  </si>
  <si>
    <t>IDA</t>
  </si>
  <si>
    <t>Portland General Electric Company</t>
  </si>
  <si>
    <t>POR</t>
  </si>
  <si>
    <t>IPALCO Enterprises, Inc.</t>
  </si>
  <si>
    <t>**IPALCO</t>
  </si>
  <si>
    <t>Public Service Enterprise Group Incorporated</t>
  </si>
  <si>
    <t>PEG</t>
  </si>
  <si>
    <t>Sempra Energy</t>
  </si>
  <si>
    <t>SRE</t>
  </si>
  <si>
    <t>Southern Company</t>
  </si>
  <si>
    <t>SO</t>
  </si>
  <si>
    <t>Unitil Corporation</t>
  </si>
  <si>
    <t>UTL</t>
  </si>
  <si>
    <t>NorthWestern Corporation</t>
  </si>
  <si>
    <t>NWE</t>
  </si>
  <si>
    <t>Otter Tail Corporation</t>
  </si>
  <si>
    <t>OTTR</t>
  </si>
  <si>
    <t>PG&amp;E Corporation</t>
  </si>
  <si>
    <t>PCG</t>
  </si>
  <si>
    <t>PNM Resources, Inc.</t>
  </si>
  <si>
    <t>PNM</t>
  </si>
  <si>
    <t>Puget Energy, Inc.</t>
  </si>
  <si>
    <t>**PSD</t>
  </si>
  <si>
    <t>Source:  Standard &amp; Poor's, S&amp;P Global Market Intelligence, and EEI Finance Dept.</t>
  </si>
  <si>
    <t>MGE Energy, Inc.</t>
  </si>
  <si>
    <t>*MGEE</t>
  </si>
  <si>
    <t/>
  </si>
  <si>
    <t xml:space="preserve">Average </t>
  </si>
  <si>
    <t xml:space="preserve">Notes: </t>
  </si>
  <si>
    <t>* For the following companies, EEI includes the subsidiary rating because parent/holding company ratings are not available:</t>
  </si>
  <si>
    <t>MGE Energy:  Using Madison Gas and Electric Co.; MGE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</si>
  <si>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</si>
  <si>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**Companies that are not publicly traded</t>
  </si>
  <si>
    <t>'Credit_2021Q4'!</t>
  </si>
  <si>
    <t>2022 Q1</t>
  </si>
  <si>
    <t>Reg_Percent_2020</t>
  </si>
  <si>
    <t>'Credit_2021Q3'!</t>
  </si>
  <si>
    <t>2021 Q4</t>
  </si>
  <si>
    <t>'Credit_2021Q2'!</t>
  </si>
  <si>
    <t>2021 Q3</t>
  </si>
  <si>
    <t>'Credit_2021Q1'!</t>
  </si>
  <si>
    <t>2021 Q2</t>
  </si>
  <si>
    <t>'Credit_2020Q4'!</t>
  </si>
  <si>
    <t>2021 Q1</t>
  </si>
  <si>
    <t>Reg_Percent_2019</t>
  </si>
  <si>
    <t>'Credit_2020Q3'!</t>
  </si>
  <si>
    <t>2020 Q4</t>
  </si>
  <si>
    <t>'Credit_2020Q2'!</t>
  </si>
  <si>
    <t>2020 Q3</t>
  </si>
  <si>
    <t>El Paso Electric Company</t>
  </si>
  <si>
    <t>'Credit_2020Q1'!</t>
  </si>
  <si>
    <t>2020 Q2</t>
  </si>
  <si>
    <t>EE</t>
  </si>
  <si>
    <t>'Credit_2019Q4'!</t>
  </si>
  <si>
    <t>2020 Q1</t>
  </si>
  <si>
    <t>Reg_Percent_2018</t>
  </si>
  <si>
    <t>'Credit_2019Q3'!</t>
  </si>
  <si>
    <t>2019 Q4</t>
  </si>
  <si>
    <t>'Credit_2019Q2'!</t>
  </si>
  <si>
    <t>2019 Q3</t>
  </si>
  <si>
    <t>'Credit_2019Q1'!</t>
  </si>
  <si>
    <t>2019 Q2</t>
  </si>
  <si>
    <t>'Credit_2018Q4'!</t>
  </si>
  <si>
    <t>2019 Q1</t>
  </si>
  <si>
    <t>Reg_Percent_2017</t>
  </si>
  <si>
    <t>'Credit_2018Q3'!</t>
  </si>
  <si>
    <t>Vectren Corporation</t>
  </si>
  <si>
    <t>VVC</t>
  </si>
  <si>
    <t>SCANA Corporation</t>
  </si>
  <si>
    <t>SCG</t>
  </si>
  <si>
    <t>'Credit_2018Q2'!</t>
  </si>
  <si>
    <t>'Credit_2018Q1'!</t>
  </si>
  <si>
    <t>'Credit_2017Q4'!</t>
  </si>
  <si>
    <t>Great Plains Energy Inc.</t>
  </si>
  <si>
    <t>GXP</t>
  </si>
  <si>
    <t>Westar Energy, Inc.</t>
  </si>
  <si>
    <t>WR</t>
  </si>
  <si>
    <t>Reg_Percent_2016</t>
  </si>
  <si>
    <t>'Credit_2017Q3'!</t>
  </si>
  <si>
    <t>Oncor Electric Delivery Company LLC</t>
  </si>
  <si>
    <t>**EFH</t>
  </si>
  <si>
    <t>'Credit_2017Q2'!</t>
  </si>
  <si>
    <t>Dominion Resources, Inc.</t>
  </si>
  <si>
    <t>**ONC</t>
  </si>
  <si>
    <t>'Credit_2017Q1'!</t>
  </si>
  <si>
    <t>'Credit_2016Q4'!</t>
  </si>
  <si>
    <t>Reg_Percent_2015</t>
  </si>
  <si>
    <t>'Credit_2016Q3'!</t>
  </si>
  <si>
    <t>Empire District Electric Company</t>
  </si>
  <si>
    <t>EDE</t>
  </si>
  <si>
    <t>TECO Energy, Inc.</t>
  </si>
  <si>
    <t>**TE</t>
  </si>
  <si>
    <t>Energy Future Holdings Corp.</t>
  </si>
  <si>
    <t>'Credit_2016Q2'!</t>
  </si>
  <si>
    <t>Source:  Standard &amp; Poor's, SNL Financial and EEI Finance Dept.</t>
  </si>
  <si>
    <t>'Credit_2016Q1'!</t>
  </si>
  <si>
    <t>TE</t>
  </si>
  <si>
    <t>*UTL</t>
  </si>
  <si>
    <t>'Credit_2015Q4'!</t>
  </si>
  <si>
    <t>CNL</t>
  </si>
  <si>
    <t>Reg_Percent_2014</t>
  </si>
  <si>
    <t>'Credit_2015Q3'!</t>
  </si>
  <si>
    <t xml:space="preserve">AVANGRID, Inc. </t>
  </si>
  <si>
    <t>Pepco Holdings, Inc.</t>
  </si>
  <si>
    <t>POM</t>
  </si>
  <si>
    <t>*MGE Energy, Inc.</t>
  </si>
  <si>
    <t>'Credit_2015Q2'!</t>
  </si>
  <si>
    <t>WEC Energy Group, Inc.</t>
  </si>
  <si>
    <t>Iberdrola USA</t>
  </si>
  <si>
    <t>**EAST</t>
  </si>
  <si>
    <t>UIL Holdings Corporation</t>
  </si>
  <si>
    <t>UIL</t>
  </si>
  <si>
    <t>Reg_Percent_2013</t>
  </si>
  <si>
    <t>'Credit_2015Q1'!</t>
  </si>
  <si>
    <t>'Credit_2014Q4'!</t>
  </si>
  <si>
    <t>Eversource</t>
  </si>
  <si>
    <t>Integrys Energy Group, Inc.</t>
  </si>
  <si>
    <t>TEG</t>
  </si>
  <si>
    <t>'Credit_2014Q3'!</t>
  </si>
  <si>
    <t>'Credit_2014Q2'!</t>
  </si>
  <si>
    <t>*UNS Energy Corporation</t>
  </si>
  <si>
    <t>*UNS</t>
  </si>
  <si>
    <t>*Unitil Corporation</t>
  </si>
  <si>
    <t>UNS Energy Corporation</t>
  </si>
  <si>
    <t>UNS Energy:  Using Tucson Electric Power Co.; UniSource Energy long-term issuer credit rating not available.</t>
  </si>
  <si>
    <t>'Credit_2014Q1'!</t>
  </si>
  <si>
    <t>Reg_Percent_2012</t>
  </si>
  <si>
    <t>a:a</t>
  </si>
  <si>
    <t>'Credit_2013Q4'!</t>
  </si>
  <si>
    <t>MidAmerican Energy Holdings Company</t>
  </si>
  <si>
    <t>'Credit_2013Q3'!</t>
  </si>
  <si>
    <t>'Credit_2013Q2'!</t>
  </si>
  <si>
    <t>NV Energy, Inc.</t>
  </si>
  <si>
    <t>NVE</t>
  </si>
  <si>
    <t>'Credit_2013Q1'!</t>
  </si>
  <si>
    <t>Reg_Percent_2011</t>
  </si>
  <si>
    <t>'Credit_2012Q4'!</t>
  </si>
  <si>
    <t>*CH Energy Group, Inc.</t>
  </si>
  <si>
    <t>*CHG</t>
  </si>
  <si>
    <t>CH Energy Group, Inc.</t>
  </si>
  <si>
    <t>CH Energy Group:  Using Central Hudson Gas &amp; Electric Corp.; CH Energy Group long-term issuer credit rating not available.</t>
  </si>
  <si>
    <t>'Credit_2012Q3'!</t>
  </si>
  <si>
    <t>SD</t>
  </si>
  <si>
    <t>'Credit_2012Q2'!</t>
  </si>
  <si>
    <t>N.A.</t>
  </si>
  <si>
    <t>Central Vermont Public Service Corporation</t>
  </si>
  <si>
    <t>CV</t>
  </si>
  <si>
    <t>'Credit_2012Q1'!</t>
  </si>
  <si>
    <t>Progress Energy, Inc.</t>
  </si>
  <si>
    <t>PGN</t>
  </si>
  <si>
    <t>Reg_Percent_2010</t>
  </si>
  <si>
    <t>'Credit_2011Q4'!</t>
  </si>
  <si>
    <t>NSTAR</t>
  </si>
  <si>
    <t>NST</t>
  </si>
  <si>
    <t>I.  S&amp;P Utility Credit Ratings Distribution -- Q4 2011</t>
  </si>
  <si>
    <t>% regulated at</t>
  </si>
  <si>
    <t>Cat. Avg.</t>
  </si>
  <si>
    <t>Q4 2011</t>
  </si>
  <si>
    <t>KeySpan Corp.</t>
  </si>
  <si>
    <t>KEY</t>
  </si>
  <si>
    <t>Niagara Mohawk Power Corporation</t>
  </si>
  <si>
    <t>NIMO</t>
  </si>
  <si>
    <t>AES</t>
  </si>
  <si>
    <t>Kentucky Utilities Company</t>
  </si>
  <si>
    <t>KU</t>
  </si>
  <si>
    <t>Louisville Gas and Electric Company</t>
  </si>
  <si>
    <t>LGE</t>
  </si>
  <si>
    <t>Green Mountain Power Corporation</t>
  </si>
  <si>
    <t>GMT</t>
  </si>
  <si>
    <t>AYE</t>
  </si>
  <si>
    <t>Duquesne Light Company</t>
  </si>
  <si>
    <t>DQE</t>
  </si>
  <si>
    <t>BRK</t>
  </si>
  <si>
    <t>CEG</t>
  </si>
  <si>
    <t>CHG</t>
  </si>
  <si>
    <t>DPL</t>
  </si>
  <si>
    <t>EAST</t>
  </si>
  <si>
    <t>PSD</t>
  </si>
  <si>
    <t>EFH</t>
  </si>
  <si>
    <t>UniSource Energy Corporation*</t>
  </si>
  <si>
    <t>UNS</t>
  </si>
  <si>
    <t>Energy East Corporation</t>
  </si>
  <si>
    <t>MGEE</t>
  </si>
  <si>
    <t>CH Energy Group, Inc.*</t>
  </si>
  <si>
    <t>Constellation Energy Group, Inc.</t>
  </si>
  <si>
    <t>MGE Energy, Inc.*</t>
  </si>
  <si>
    <t>Allegheny Energy, Inc.</t>
  </si>
  <si>
    <t>UniSource Energy:  Using Tucson Electric Power Co.; UniSource Energy long-term issuer credit rating not available.</t>
  </si>
  <si>
    <t>I.  S&amp;P Utility Credit Ratings Distribution -- Q3 2011</t>
  </si>
  <si>
    <t>Q3 2011</t>
  </si>
  <si>
    <t>I.  S&amp;P Utility Credit Ratings Distribution -- Q2 2011</t>
  </si>
  <si>
    <t>Q2 2011</t>
  </si>
  <si>
    <t>I.  S&amp;P Utility Credit Ratings Distribution -- Q1 2011</t>
  </si>
  <si>
    <t>Q1 2011</t>
  </si>
  <si>
    <t>I.  S&amp;P Utility Credit Ratings Distribution -- Q4 2010</t>
  </si>
  <si>
    <t>Chg.</t>
  </si>
  <si>
    <t>Q4 2010</t>
  </si>
  <si>
    <t>MAM</t>
  </si>
  <si>
    <t>I.  S&amp;P Utility Credit Ratings Distribution -- Q4 2009</t>
  </si>
  <si>
    <t>Q4 2009</t>
  </si>
  <si>
    <t>FPL Group, Inc.</t>
  </si>
  <si>
    <t>Maine &amp; Maritimes Corporation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</si>
  <si>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</si>
  <si>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</si>
  <si>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I.  S&amp;P Utility Credit Ratings Distribution -- 2008r</t>
  </si>
  <si>
    <t>2008r</t>
  </si>
  <si>
    <t>PG&amp;E Corporation*</t>
  </si>
  <si>
    <t>Sierra Pacific Resources</t>
  </si>
  <si>
    <t>N/A</t>
  </si>
  <si>
    <t>CH Energy Group:  Using Central Hudson Gas &amp; Electric Corp.; CH Energy Group long-term issuer credit rating not available as of 12/31/08.</t>
  </si>
  <si>
    <t>PG&amp;E:  Using Pacific Gas and Electric Co.; PG&amp;E long-term issuer credit rating not available as of 12/31/08.</t>
  </si>
  <si>
    <t>UniSource Energy:  Using Tucson Electric Power Co.; UniSource Energy long-term issuer credit rating not available as of 12/31/08.</t>
  </si>
  <si>
    <t>I.  S&amp;P Utility Credit Ratings Distribution -- 2007r</t>
  </si>
  <si>
    <t>2007r</t>
  </si>
  <si>
    <t>Aquila, Inc.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</si>
  <si>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</si>
  <si>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</si>
  <si>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</si>
  <si>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I. S&amp;P Utility Credit Ratings Distribution - 2006</t>
  </si>
  <si>
    <t>WPS Resources Corporation</t>
  </si>
  <si>
    <t>Constellation Energy, Inc.</t>
  </si>
  <si>
    <t>Kentucky Utilities</t>
  </si>
  <si>
    <t>Louisville Gas &amp; Electric</t>
  </si>
  <si>
    <t>American Electric Power Company</t>
  </si>
  <si>
    <t>Source: Standard &amp; Poor's, SNL Financial</t>
  </si>
  <si>
    <t>Duquesne Light Holdings, Inc.</t>
  </si>
  <si>
    <t>Great Plains Energy, Inc.</t>
  </si>
  <si>
    <t>Progress Energy Inc.</t>
  </si>
  <si>
    <t>Xcel Energy, Inc.</t>
  </si>
  <si>
    <t>TXU Corp.</t>
  </si>
  <si>
    <t>UniSource Energy Corporation</t>
  </si>
  <si>
    <t>MGE Energy</t>
  </si>
  <si>
    <t xml:space="preserve">Note: 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</si>
  <si>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</si>
  <si>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</si>
  <si>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</si>
  <si>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 xml:space="preserve">Cinergy Corp and Pacificorp are no longer part of the EEI Index.  Numbers based on 64+4 companies.  </t>
  </si>
  <si>
    <t>I. S&amp;P Utility Credit Ratings Distribution - 2001</t>
  </si>
  <si>
    <t>2001 Y</t>
  </si>
  <si>
    <t>Ameren Corp</t>
  </si>
  <si>
    <t>IDACORP Inc</t>
  </si>
  <si>
    <t>Otter Tail Power</t>
  </si>
  <si>
    <t>WPS Resources</t>
  </si>
  <si>
    <t>Duke Energy</t>
  </si>
  <si>
    <t>New England Power</t>
  </si>
  <si>
    <t>Niagara Mohawk Power Corp</t>
  </si>
  <si>
    <t>Allegheny Energy</t>
  </si>
  <si>
    <t>Southern Co</t>
  </si>
  <si>
    <t>Consolidated Edison</t>
  </si>
  <si>
    <t>CH Energy Group</t>
  </si>
  <si>
    <t>Keyspan</t>
  </si>
  <si>
    <t>FPL Group</t>
  </si>
  <si>
    <t>TECO Energy</t>
  </si>
  <si>
    <t>Constellation Energy</t>
  </si>
  <si>
    <t>Empire District</t>
  </si>
  <si>
    <t>Pacificorp</t>
  </si>
  <si>
    <t>RGS Energy Group, Inc.</t>
  </si>
  <si>
    <t>Xcel Energy</t>
  </si>
  <si>
    <t>Wisconsin Energy</t>
  </si>
  <si>
    <t>Exelon</t>
  </si>
  <si>
    <t>Vectren</t>
  </si>
  <si>
    <t>Alliant Energy</t>
  </si>
  <si>
    <t>OGE Energy Corp</t>
  </si>
  <si>
    <t>American Electric Power</t>
  </si>
  <si>
    <t>MDU Resources</t>
  </si>
  <si>
    <t>Great Plains Energy</t>
  </si>
  <si>
    <t>Allete</t>
  </si>
  <si>
    <t>Source: Standard &amp; Poor's, SNL Financial, EEI Finance Department, and company annual reports</t>
  </si>
  <si>
    <t>Cinergy</t>
  </si>
  <si>
    <t>Conectiv</t>
  </si>
  <si>
    <t>Dominion Resources</t>
  </si>
  <si>
    <t>DTE Energy</t>
  </si>
  <si>
    <t>Energy East</t>
  </si>
  <si>
    <t>Illinois Power Co</t>
  </si>
  <si>
    <t>Montana Power</t>
  </si>
  <si>
    <t>Northwestern Corp</t>
  </si>
  <si>
    <t>PEPCO</t>
  </si>
  <si>
    <t>Portland General Electric</t>
  </si>
  <si>
    <t>PPL Corp</t>
  </si>
  <si>
    <t>Progress Energy</t>
  </si>
  <si>
    <t>TXU</t>
  </si>
  <si>
    <t>NiSource</t>
  </si>
  <si>
    <t>Hawaiian Electric</t>
  </si>
  <si>
    <t>Black Hills Corp</t>
  </si>
  <si>
    <t>IPALCO Enterprises</t>
  </si>
  <si>
    <t>Pinnacle West Capital</t>
  </si>
  <si>
    <t>Entergy</t>
  </si>
  <si>
    <t>First Energy</t>
  </si>
  <si>
    <t>Public Service Enterprise Group</t>
  </si>
  <si>
    <t>Puget Energy</t>
  </si>
  <si>
    <t>Centr Vermont Pub Serv</t>
  </si>
  <si>
    <t>TNP Enterprises</t>
  </si>
  <si>
    <t xml:space="preserve">BBB- </t>
  </si>
  <si>
    <t>El Paso Electric</t>
  </si>
  <si>
    <t>Green Mtn Power Corp</t>
  </si>
  <si>
    <t>MidAmerican Energy Holdings</t>
  </si>
  <si>
    <t>Avista Corp.</t>
  </si>
  <si>
    <t>Westar Energy Inc.</t>
  </si>
  <si>
    <t>CMS Energy</t>
  </si>
  <si>
    <t>Unisource</t>
  </si>
  <si>
    <t>PG&amp;E</t>
  </si>
  <si>
    <t>Maine Public Service</t>
  </si>
  <si>
    <t>UIL Holdings</t>
  </si>
  <si>
    <t>Average</t>
  </si>
  <si>
    <t>Note:</t>
  </si>
  <si>
    <t>All ratings are at the holding company level with the exception of 4 companies that do not have a credit rating (Maine &amp; Maritimes, MGE Energy, Unitil Corp, &amp; UIL Holdings)</t>
  </si>
  <si>
    <t xml:space="preserve">and 6 companies that do not have a parent level rating in SNL Datasource -- see below.  </t>
  </si>
  <si>
    <t>Unisource - Using Tuscon Electric Power Company credit rating (BB on 11/08/02).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</si>
  <si>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</si>
  <si>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</si>
  <si>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</si>
  <si>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Great Plains Enregy - Using Kansas City Power &amp; Light (A- on 1/2/02). </t>
  </si>
  <si>
    <t xml:space="preserve">PEPCO - Using Potomac Electric Power rating (BBB+ on 7/15/03). </t>
  </si>
  <si>
    <t xml:space="preserve"> </t>
  </si>
  <si>
    <t>Ticker</t>
  </si>
  <si>
    <t>Regulated Percentage</t>
  </si>
  <si>
    <t xml:space="preserve">WEC Energy Group, Inc. </t>
  </si>
  <si>
    <t>Cleco Corporation *</t>
  </si>
  <si>
    <t>DPL Inc. *</t>
  </si>
  <si>
    <t>IPALCO Enterprises, Inc. *</t>
  </si>
  <si>
    <t>Berkshire Hathaway Energy *</t>
  </si>
  <si>
    <t>Puget Energy, Inc. *</t>
  </si>
  <si>
    <t>Energy Future Holdings Corp. *</t>
  </si>
  <si>
    <t>*DPL Inc.</t>
  </si>
  <si>
    <t>*Energy Future Holdings Corp.</t>
  </si>
  <si>
    <t>*Iberdrola USA</t>
  </si>
  <si>
    <t>*IPALCO Enterprises, Inc.</t>
  </si>
  <si>
    <t>*MidAmerican Energy Holdings Company</t>
  </si>
  <si>
    <t>*Puget Energy, Inc.</t>
  </si>
  <si>
    <t>Moody's</t>
  </si>
  <si>
    <t>rating_scale_SP</t>
  </si>
  <si>
    <t>RD</t>
  </si>
  <si>
    <t>rating_scale_Fitch</t>
  </si>
  <si>
    <t>DD</t>
  </si>
  <si>
    <t>D+</t>
  </si>
  <si>
    <t>DDD</t>
  </si>
  <si>
    <t>rating_scale_Moody</t>
  </si>
  <si>
    <t>rating_scale_SP_invest</t>
  </si>
  <si>
    <t>C+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</si>
</sst>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2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Calibri"/>
      <family val="2"/>
    </font>
    <font>
      <sz val="10"/>
      <color rgb="FF000099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9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9" fontId="0" fillId="0" borderId="0" xfId="4" applyFont="1" applyBorder="1"/>
    <xf numFmtId="0" fontId="0" fillId="0" borderId="0" xfId="0" applyAlignment="1">
      <alignment horizontal="center"/>
    </xf>
    <xf numFmtId="9" fontId="0" fillId="0" borderId="0" xfId="4" applyFont="1" applyFill="1" applyBorder="1"/>
    <xf numFmtId="0" fontId="7" fillId="0" borderId="0" xfId="0" applyFont="1"/>
    <xf numFmtId="0" fontId="3" fillId="0" borderId="0" xfId="0" applyFont="1" applyAlignment="1">
      <alignment horizontal="right"/>
    </xf>
    <xf numFmtId="0" fontId="5" fillId="0" borderId="0" xfId="0" applyFont="1"/>
    <xf numFmtId="0" fontId="10" fillId="0" borderId="0" xfId="0" applyFont="1"/>
    <xf numFmtId="0" fontId="2" fillId="2" borderId="0" xfId="0" applyFont="1" applyFill="1" applyAlignment="1">
      <alignment horizontal="center"/>
    </xf>
    <xf numFmtId="0" fontId="0" fillId="2" borderId="0" xfId="0" applyFill="1"/>
    <xf numFmtId="0" fontId="3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9" fontId="3" fillId="0" borderId="0" xfId="0" applyNumberFormat="1" applyFont="1" applyAlignment="1">
      <alignment horizontal="left"/>
    </xf>
    <xf numFmtId="0" fontId="3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horizontal="center"/>
    </xf>
    <xf numFmtId="0" fontId="2" fillId="2" borderId="0" xfId="0" quotePrefix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0" borderId="0" xfId="0" applyFont="1"/>
    <xf numFmtId="0" fontId="7" fillId="2" borderId="0" xfId="0" applyFont="1" applyFill="1"/>
    <xf numFmtId="0" fontId="3" fillId="2" borderId="0" xfId="0" applyFont="1" applyFill="1"/>
    <xf numFmtId="0" fontId="7" fillId="0" borderId="0" xfId="0" quotePrefix="1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0" xfId="0" applyFont="1"/>
    <xf numFmtId="0" fontId="11" fillId="0" borderId="0" xfId="0" applyFont="1"/>
    <xf numFmtId="0" fontId="8" fillId="0" borderId="0" xfId="0" applyFont="1" applyAlignment="1">
      <alignment horizontal="center"/>
    </xf>
    <xf numFmtId="0" fontId="12" fillId="0" borderId="0" xfId="0" applyFont="1"/>
    <xf numFmtId="0" fontId="8" fillId="0" borderId="0" xfId="0" applyFont="1" applyAlignment="1">
      <alignment horizontal="right"/>
    </xf>
    <xf numFmtId="164" fontId="11" fillId="0" borderId="0" xfId="4" applyNumberFormat="1" applyFont="1" applyFill="1" applyBorder="1"/>
    <xf numFmtId="0" fontId="13" fillId="0" borderId="0" xfId="0" applyFont="1"/>
    <xf numFmtId="0" fontId="22" fillId="0" borderId="0" xfId="0" applyFont="1" applyAlignment="1">
      <alignment horizontal="left"/>
    </xf>
    <xf numFmtId="0" fontId="23" fillId="2" borderId="0" xfId="0" quotePrefix="1" applyFont="1" applyFill="1" applyAlignment="1">
      <alignment horizontal="left"/>
    </xf>
    <xf numFmtId="0" fontId="24" fillId="2" borderId="0" xfId="0" applyFont="1" applyFill="1" applyAlignment="1">
      <alignment horizontal="center"/>
    </xf>
    <xf numFmtId="0" fontId="25" fillId="0" borderId="0" xfId="0" applyFont="1"/>
    <xf numFmtId="0" fontId="23" fillId="0" borderId="0" xfId="0" applyFont="1" applyAlignment="1">
      <alignment horizontal="left"/>
    </xf>
    <xf numFmtId="2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22" fillId="0" borderId="0" xfId="0" applyFont="1" applyAlignment="1">
      <alignment horizontal="centerContinuous"/>
    </xf>
    <xf numFmtId="0" fontId="26" fillId="0" borderId="0" xfId="0" applyFont="1"/>
    <xf numFmtId="0" fontId="22" fillId="0" borderId="0" xfId="0" applyFont="1"/>
    <xf numFmtId="9" fontId="22" fillId="0" borderId="0" xfId="4" applyFont="1" applyBorder="1"/>
    <xf numFmtId="0" fontId="23" fillId="0" borderId="0" xfId="0" applyFont="1"/>
    <xf numFmtId="9" fontId="23" fillId="0" borderId="0" xfId="4" applyFont="1" applyBorder="1"/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Continuous"/>
    </xf>
    <xf numFmtId="0" fontId="22" fillId="0" borderId="1" xfId="0" applyFont="1" applyBorder="1"/>
    <xf numFmtId="9" fontId="22" fillId="0" borderId="1" xfId="4" applyFont="1" applyBorder="1"/>
    <xf numFmtId="0" fontId="22" fillId="0" borderId="1" xfId="0" applyFont="1" applyBorder="1" applyAlignment="1">
      <alignment horizontal="center"/>
    </xf>
    <xf numFmtId="9" fontId="22" fillId="0" borderId="0" xfId="4" applyFont="1"/>
    <xf numFmtId="9" fontId="22" fillId="0" borderId="0" xfId="4" applyFont="1" applyFill="1"/>
    <xf numFmtId="9" fontId="22" fillId="0" borderId="0" xfId="4" applyFont="1" applyBorder="1" applyAlignment="1">
      <alignment horizontal="center"/>
    </xf>
    <xf numFmtId="9" fontId="22" fillId="5" borderId="0" xfId="4" applyFont="1" applyFill="1" applyBorder="1" applyAlignment="1">
      <alignment horizontal="center"/>
    </xf>
    <xf numFmtId="9" fontId="22" fillId="0" borderId="0" xfId="4" applyFont="1" applyFill="1" applyBorder="1" applyAlignment="1">
      <alignment horizontal="centerContinuous"/>
    </xf>
    <xf numFmtId="9" fontId="22" fillId="0" borderId="1" xfId="4" applyFont="1" applyFill="1" applyBorder="1" applyAlignment="1">
      <alignment horizontal="centerContinuous"/>
    </xf>
    <xf numFmtId="14" fontId="24" fillId="2" borderId="0" xfId="0" applyNumberFormat="1" applyFont="1" applyFill="1" applyAlignment="1">
      <alignment horizontal="center"/>
    </xf>
    <xf numFmtId="14" fontId="24" fillId="0" borderId="0" xfId="0" applyNumberFormat="1" applyFont="1" applyAlignment="1">
      <alignment horizontal="center"/>
    </xf>
    <xf numFmtId="164" fontId="0" fillId="0" borderId="0" xfId="0" applyNumberFormat="1"/>
    <xf numFmtId="0" fontId="23" fillId="6" borderId="0" xfId="0" applyFont="1" applyFill="1" applyAlignment="1">
      <alignment horizontal="centerContinuous"/>
    </xf>
    <xf numFmtId="0" fontId="5" fillId="6" borderId="0" xfId="0" applyFont="1" applyFill="1" applyAlignment="1">
      <alignment horizontal="centerContinuous"/>
    </xf>
    <xf numFmtId="9" fontId="22" fillId="0" borderId="0" xfId="4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Continuous"/>
    </xf>
    <xf numFmtId="10" fontId="22" fillId="0" borderId="1" xfId="4" applyNumberFormat="1" applyFont="1" applyFill="1" applyBorder="1" applyAlignment="1">
      <alignment horizontal="centerContinuous"/>
    </xf>
    <xf numFmtId="0" fontId="27" fillId="0" borderId="0" xfId="0" applyFont="1" applyAlignment="1">
      <alignment horizontal="left"/>
    </xf>
    <xf numFmtId="9" fontId="0" fillId="0" borderId="0" xfId="0" applyNumberFormat="1"/>
    <xf numFmtId="165" fontId="0" fillId="0" borderId="0" xfId="0" applyNumberFormat="1"/>
    <xf numFmtId="0" fontId="28" fillId="4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7" fillId="0" borderId="0" xfId="0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3" fillId="5" borderId="0" xfId="0" applyFont="1" applyFill="1" applyAlignment="1">
      <alignment horizontal="left"/>
    </xf>
    <xf numFmtId="0" fontId="26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7" fillId="0" borderId="0" xfId="0" applyFont="1" applyAlignment="1">
      <alignment horizontal="left" indent="1"/>
    </xf>
    <xf numFmtId="164" fontId="0" fillId="0" borderId="0" xfId="0" applyNumberFormat="1" applyAlignment="1">
      <alignment horizontal="left" indent="1"/>
    </xf>
    <xf numFmtId="0" fontId="22" fillId="0" borderId="2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9" fontId="22" fillId="0" borderId="2" xfId="4" applyFont="1" applyBorder="1" applyAlignment="1">
      <alignment horizontal="center"/>
    </xf>
    <xf numFmtId="0" fontId="34" fillId="0" borderId="0" xfId="1" applyFont="1" applyBorder="1" applyAlignment="1" applyProtection="1"/>
    <xf numFmtId="166" fontId="22" fillId="0" borderId="0" xfId="0" applyNumberFormat="1" applyFont="1"/>
    <xf numFmtId="10" fontId="22" fillId="0" borderId="0" xfId="4" applyNumberFormat="1" applyFont="1"/>
    <xf numFmtId="0" fontId="22" fillId="8" borderId="0" xfId="0" applyFont="1" applyFill="1" applyAlignment="1">
      <alignment horizontal="left"/>
    </xf>
    <xf numFmtId="0" fontId="22" fillId="8" borderId="0" xfId="0" applyFont="1" applyFill="1" applyAlignment="1">
      <alignment horizontal="center"/>
    </xf>
    <xf numFmtId="9" fontId="22" fillId="8" borderId="0" xfId="4" applyFont="1" applyFill="1" applyBorder="1" applyAlignment="1">
      <alignment horizontal="center"/>
    </xf>
    <xf numFmtId="0" fontId="22" fillId="9" borderId="2" xfId="0" applyFont="1" applyFill="1" applyBorder="1" applyAlignment="1">
      <alignment horizontal="left"/>
    </xf>
    <xf numFmtId="0" fontId="22" fillId="9" borderId="2" xfId="0" applyFont="1" applyFill="1" applyBorder="1" applyAlignment="1">
      <alignment horizontal="center"/>
    </xf>
    <xf numFmtId="9" fontId="22" fillId="9" borderId="2" xfId="4" applyFont="1" applyFill="1" applyBorder="1" applyAlignment="1">
      <alignment horizontal="center"/>
    </xf>
    <xf numFmtId="0" fontId="23" fillId="0" borderId="9" xfId="0" quotePrefix="1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0" fillId="0" borderId="10" xfId="0" applyBorder="1"/>
    <xf numFmtId="14" fontId="24" fillId="0" borderId="11" xfId="0" applyNumberFormat="1" applyFont="1" applyBorder="1" applyAlignment="1">
      <alignment horizontal="center"/>
    </xf>
    <xf numFmtId="0" fontId="22" fillId="5" borderId="2" xfId="0" applyFont="1" applyFill="1" applyBorder="1" applyAlignment="1">
      <alignment horizontal="left"/>
    </xf>
    <xf numFmtId="0" fontId="22" fillId="9" borderId="0" xfId="0" applyFont="1" applyFill="1" applyAlignment="1">
      <alignment horizontal="left"/>
    </xf>
    <xf numFmtId="0" fontId="22" fillId="5" borderId="2" xfId="0" applyFont="1" applyFill="1" applyBorder="1" applyAlignment="1">
      <alignment horizontal="center"/>
    </xf>
    <xf numFmtId="0" fontId="22" fillId="9" borderId="0" xfId="0" applyFont="1" applyFill="1" applyAlignment="1">
      <alignment horizontal="center"/>
    </xf>
    <xf numFmtId="9" fontId="22" fillId="5" borderId="2" xfId="4" applyFont="1" applyFill="1" applyBorder="1" applyAlignment="1">
      <alignment horizontal="center"/>
    </xf>
    <xf numFmtId="9" fontId="22" fillId="9" borderId="0" xfId="4" applyFont="1" applyFill="1" applyBorder="1" applyAlignment="1">
      <alignment horizontal="center"/>
    </xf>
    <xf numFmtId="9" fontId="22" fillId="0" borderId="1" xfId="4" applyFont="1" applyFill="1" applyBorder="1" applyAlignment="1">
      <alignment horizontal="center"/>
    </xf>
    <xf numFmtId="9" fontId="22" fillId="0" borderId="2" xfId="4" applyFont="1" applyFill="1" applyBorder="1" applyAlignment="1">
      <alignment horizontal="center"/>
    </xf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9" fontId="22" fillId="0" borderId="12" xfId="4" applyFont="1" applyFill="1" applyBorder="1" applyAlignment="1">
      <alignment horizontal="center"/>
    </xf>
    <xf numFmtId="0" fontId="35" fillId="10" borderId="0" xfId="0" applyFont="1" applyFill="1" applyAlignment="1">
      <alignment horizontal="left"/>
    </xf>
    <xf numFmtId="0" fontId="35" fillId="10" borderId="0" xfId="0" applyFont="1" applyFill="1" applyAlignment="1">
      <alignment horizontal="center"/>
    </xf>
    <xf numFmtId="9" fontId="35" fillId="10" borderId="0" xfId="4" applyFont="1" applyFill="1" applyBorder="1" applyAlignment="1">
      <alignment horizontal="center"/>
    </xf>
    <xf numFmtId="0" fontId="35" fillId="11" borderId="0" xfId="0" applyFont="1" applyFill="1" applyAlignment="1">
      <alignment horizontal="left"/>
    </xf>
    <xf numFmtId="0" fontId="35" fillId="11" borderId="0" xfId="0" applyFont="1" applyFill="1" applyAlignment="1">
      <alignment horizontal="center"/>
    </xf>
    <xf numFmtId="9" fontId="35" fillId="11" borderId="0" xfId="4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4" xfId="0" applyFont="1" applyBorder="1"/>
    <xf numFmtId="0" fontId="36" fillId="0" borderId="5" xfId="0" applyFont="1" applyBorder="1" applyAlignment="1">
      <alignment horizontal="right"/>
    </xf>
    <xf numFmtId="0" fontId="36" fillId="0" borderId="5" xfId="0" applyFont="1" applyBorder="1"/>
    <xf numFmtId="0" fontId="0" fillId="0" borderId="5" xfId="0" applyBorder="1"/>
    <xf numFmtId="0" fontId="5" fillId="0" borderId="6" xfId="0" applyFont="1" applyBorder="1"/>
    <xf numFmtId="0" fontId="36" fillId="0" borderId="3" xfId="0" applyFont="1" applyBorder="1" applyAlignment="1">
      <alignment horizontal="right"/>
    </xf>
    <xf numFmtId="0" fontId="36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1" fillId="0" borderId="5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right"/>
    </xf>
    <xf numFmtId="0" fontId="5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5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29" fillId="4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37" fillId="0" borderId="0" xfId="0" applyFont="1"/>
    <xf numFmtId="9" fontId="11" fillId="0" borderId="0" xfId="0" applyNumberFormat="1" applyFont="1"/>
    <xf numFmtId="9" fontId="38" fillId="0" borderId="0" xfId="0" applyNumberFormat="1" applyFont="1"/>
    <xf numFmtId="0" fontId="41" fillId="0" borderId="0" xfId="0" quotePrefix="1" applyFont="1" applyAlignment="1">
      <alignment horizontal="left" vertical="center"/>
    </xf>
    <xf numFmtId="0" fontId="35" fillId="10" borderId="2" xfId="0" applyFont="1" applyFill="1" applyBorder="1" applyAlignment="1">
      <alignment horizontal="left"/>
    </xf>
    <xf numFmtId="0" fontId="35" fillId="10" borderId="2" xfId="0" applyFont="1" applyFill="1" applyBorder="1" applyAlignment="1">
      <alignment horizontal="center"/>
    </xf>
    <xf numFmtId="9" fontId="35" fillId="10" borderId="2" xfId="4" applyFont="1" applyFill="1" applyBorder="1" applyAlignment="1">
      <alignment horizontal="center"/>
    </xf>
    <xf numFmtId="0" fontId="22" fillId="0" borderId="0" xfId="6" applyFont="1" applyAlignment="1">
      <alignment vertical="center"/>
    </xf>
    <xf numFmtId="0" fontId="25" fillId="0" borderId="0" xfId="6" applyFont="1" applyAlignment="1">
      <alignment vertical="center"/>
    </xf>
    <xf numFmtId="0" fontId="22" fillId="0" borderId="0" xfId="6" applyFont="1" applyAlignment="1">
      <alignment horizontal="center" vertical="center"/>
    </xf>
    <xf numFmtId="0" fontId="22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horizontal="center" vertical="center"/>
    </xf>
    <xf numFmtId="0" fontId="23" fillId="14" borderId="14" xfId="6" applyFont="1" applyFill="1" applyBorder="1" applyAlignment="1">
      <alignment horizontal="center" vertical="center" wrapText="1"/>
    </xf>
    <xf numFmtId="4" fontId="22" fillId="0" borderId="15" xfId="6" applyNumberFormat="1" applyFont="1" applyBorder="1" applyAlignment="1">
      <alignment horizontal="center" vertical="center"/>
    </xf>
    <xf numFmtId="0" fontId="22" fillId="0" borderId="13" xfId="6" applyFont="1" applyBorder="1" applyAlignment="1">
      <alignment vertical="center"/>
    </xf>
    <xf numFmtId="0" fontId="22" fillId="0" borderId="13" xfId="6" applyFont="1" applyBorder="1" applyAlignment="1">
      <alignment horizontal="center" vertical="center"/>
    </xf>
    <xf numFmtId="0" fontId="43" fillId="0" borderId="13" xfId="6" applyFont="1" applyBorder="1" applyAlignment="1">
      <alignment horizontal="center" vertical="center"/>
    </xf>
    <xf numFmtId="4" fontId="22" fillId="0" borderId="16" xfId="6" applyNumberFormat="1" applyFont="1" applyBorder="1" applyAlignment="1">
      <alignment horizontal="center" vertical="center"/>
    </xf>
    <xf numFmtId="14" fontId="42" fillId="0" borderId="0" xfId="6" applyNumberFormat="1" applyFont="1" applyAlignment="1">
      <alignment horizontal="center" vertical="center"/>
    </xf>
    <xf numFmtId="0" fontId="41" fillId="0" borderId="0" xfId="0" quotePrefix="1" applyFont="1" applyAlignment="1">
      <alignment horizontal="right"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4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40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30" fillId="0" borderId="0" xfId="0" applyNumberFormat="1" applyFont="1" applyAlignment="1">
      <alignment horizontal="center" vertical="center"/>
    </xf>
    <xf numFmtId="0" fontId="41" fillId="0" borderId="0" xfId="0" quotePrefix="1" applyFont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9" fontId="22" fillId="0" borderId="0" xfId="4" applyFont="1" applyFill="1" applyBorder="1" applyAlignment="1">
      <alignment horizontal="center" vertical="center"/>
    </xf>
    <xf numFmtId="0" fontId="23" fillId="12" borderId="8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45" fillId="0" borderId="0" xfId="0" quotePrefix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0" fillId="0" borderId="0" xfId="0" applyNumberFormat="1" applyAlignment="1">
      <alignment vertical="center"/>
    </xf>
    <xf numFmtId="0" fontId="48" fillId="0" borderId="2" xfId="0" applyFont="1" applyBorder="1" applyAlignment="1">
      <alignment horizontal="left" vertical="center"/>
    </xf>
    <xf numFmtId="0" fontId="48" fillId="0" borderId="2" xfId="0" applyFont="1" applyBorder="1" applyAlignment="1">
      <alignment horizontal="center" vertical="center"/>
    </xf>
    <xf numFmtId="9" fontId="22" fillId="0" borderId="2" xfId="4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Continuous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Continuous" vertical="center"/>
    </xf>
    <xf numFmtId="9" fontId="22" fillId="0" borderId="1" xfId="4" applyFont="1" applyFill="1" applyBorder="1" applyAlignment="1">
      <alignment horizontal="centerContinuous" vertical="center"/>
    </xf>
    <xf numFmtId="0" fontId="23" fillId="0" borderId="0" xfId="0" applyFont="1" applyAlignment="1">
      <alignment horizontal="left" vertical="center"/>
    </xf>
    <xf numFmtId="2" fontId="23" fillId="0" borderId="0" xfId="0" applyNumberFormat="1" applyFont="1" applyAlignment="1">
      <alignment horizontal="center" vertical="center"/>
    </xf>
    <xf numFmtId="0" fontId="3" fillId="0" borderId="0" xfId="0" quotePrefix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167" fontId="0" fillId="0" borderId="0" xfId="0" applyNumberFormat="1" applyAlignment="1">
      <alignment vertical="center"/>
    </xf>
    <xf numFmtId="0" fontId="46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9" fontId="23" fillId="0" borderId="8" xfId="4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9" fontId="22" fillId="0" borderId="17" xfId="4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9" fontId="22" fillId="0" borderId="13" xfId="4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9" fontId="22" fillId="0" borderId="18" xfId="4" applyFont="1" applyBorder="1" applyAlignment="1">
      <alignment horizontal="center" vertical="center"/>
    </xf>
    <xf numFmtId="0" fontId="23" fillId="0" borderId="19" xfId="0" quotePrefix="1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14" fontId="24" fillId="0" borderId="20" xfId="0" applyNumberFormat="1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0" fontId="48" fillId="0" borderId="13" xfId="0" applyFont="1" applyBorder="1" applyAlignment="1">
      <alignment horizontal="center" vertical="center"/>
    </xf>
    <xf numFmtId="9" fontId="22" fillId="0" borderId="13" xfId="4" applyFont="1" applyFill="1" applyBorder="1" applyAlignment="1">
      <alignment horizontal="center" vertical="center"/>
    </xf>
    <xf numFmtId="0" fontId="48" fillId="0" borderId="21" xfId="0" applyFont="1" applyBorder="1" applyAlignment="1">
      <alignment horizontal="left" vertical="center"/>
    </xf>
    <xf numFmtId="0" fontId="48" fillId="0" borderId="21" xfId="0" applyFont="1" applyBorder="1" applyAlignment="1">
      <alignment horizontal="center" vertical="center"/>
    </xf>
    <xf numFmtId="9" fontId="22" fillId="0" borderId="21" xfId="4" applyFont="1" applyFill="1" applyBorder="1" applyAlignment="1">
      <alignment horizontal="center" vertical="center"/>
    </xf>
    <xf numFmtId="0" fontId="48" fillId="0" borderId="13" xfId="0" applyFont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2" fillId="15" borderId="17" xfId="0" applyFont="1" applyFill="1" applyBorder="1" applyAlignment="1">
      <alignment horizontal="center" vertical="center"/>
    </xf>
    <xf numFmtId="0" fontId="22" fillId="15" borderId="13" xfId="0" applyFont="1" applyFill="1" applyBorder="1" applyAlignment="1">
      <alignment horizontal="center" vertical="center"/>
    </xf>
    <xf numFmtId="0" fontId="22" fillId="15" borderId="18" xfId="0" applyFont="1" applyFill="1" applyBorder="1" applyAlignment="1">
      <alignment horizontal="center" vertical="center"/>
    </xf>
    <xf numFmtId="0" fontId="23" fillId="15" borderId="8" xfId="0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9" fillId="0" borderId="0" xfId="0" applyFont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0" xfId="6" applyAlignment="1">
      <alignment horizontal="left"/>
    </xf>
    <xf numFmtId="0" fontId="1" fillId="0" borderId="23" xfId="6" applyBorder="1" applyAlignment="1">
      <alignment horizontal="center"/>
    </xf>
    <xf numFmtId="0" fontId="1" fillId="0" borderId="24" xfId="6" applyBorder="1" applyAlignment="1">
      <alignment horizontal="center"/>
    </xf>
    <xf numFmtId="0" fontId="50" fillId="0" borderId="0" xfId="6" applyFont="1" applyAlignment="1">
      <alignment horizontal="left"/>
    </xf>
    <xf numFmtId="0" fontId="50" fillId="0" borderId="0" xfId="6" applyFont="1" applyAlignment="1">
      <alignment horizontal="center"/>
    </xf>
    <xf numFmtId="0" fontId="40" fillId="0" borderId="0" xfId="6" applyFont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6" fillId="0" borderId="0" xfId="0" applyFont="1" applyAlignment="1">
      <alignment horizontal="center" vertical="center"/>
    </xf>
    <xf numFmtId="0" fontId="39" fillId="0" borderId="0" xfId="0" quotePrefix="1" applyFont="1" applyAlignment="1">
      <alignment vertical="center"/>
    </xf>
    <xf numFmtId="0" fontId="23" fillId="2" borderId="8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2" fillId="0" borderId="17" xfId="0" applyFont="1" applyBorder="1" applyAlignment="1">
      <alignment horizontal="left" vertical="center"/>
    </xf>
    <xf numFmtId="9" fontId="22" fillId="0" borderId="17" xfId="0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9" fontId="22" fillId="0" borderId="13" xfId="0" applyNumberFormat="1" applyFont="1" applyBorder="1" applyAlignment="1">
      <alignment vertical="center"/>
    </xf>
    <xf numFmtId="0" fontId="22" fillId="0" borderId="18" xfId="0" applyFont="1" applyBorder="1" applyAlignment="1">
      <alignment horizontal="left" vertical="center"/>
    </xf>
    <xf numFmtId="9" fontId="22" fillId="0" borderId="18" xfId="0" applyNumberFormat="1" applyFont="1" applyBorder="1" applyAlignment="1">
      <alignment vertical="center"/>
    </xf>
    <xf numFmtId="9" fontId="22" fillId="0" borderId="18" xfId="4" applyFont="1" applyBorder="1" applyAlignment="1">
      <alignment vertical="center"/>
    </xf>
    <xf numFmtId="0" fontId="23" fillId="0" borderId="8" xfId="0" applyFont="1" applyBorder="1" applyAlignment="1">
      <alignment horizontal="left" vertical="center"/>
    </xf>
    <xf numFmtId="9" fontId="23" fillId="0" borderId="8" xfId="0" applyNumberFormat="1" applyFont="1" applyBorder="1" applyAlignment="1">
      <alignment vertical="center"/>
    </xf>
    <xf numFmtId="9" fontId="22" fillId="0" borderId="0" xfId="0" applyNumberFormat="1" applyFont="1" applyAlignment="1">
      <alignment vertical="center"/>
    </xf>
    <xf numFmtId="0" fontId="22" fillId="2" borderId="8" xfId="0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52" fillId="2" borderId="8" xfId="0" applyFont="1" applyFill="1" applyBorder="1" applyAlignment="1">
      <alignment horizontal="center" vertical="center"/>
    </xf>
    <xf numFmtId="9" fontId="51" fillId="0" borderId="17" xfId="0" applyNumberFormat="1" applyFont="1" applyBorder="1" applyAlignment="1">
      <alignment horizontal="center" vertical="center"/>
    </xf>
    <xf numFmtId="9" fontId="51" fillId="0" borderId="13" xfId="0" applyNumberFormat="1" applyFont="1" applyBorder="1" applyAlignment="1">
      <alignment horizontal="center" vertical="center"/>
    </xf>
    <xf numFmtId="9" fontId="51" fillId="0" borderId="18" xfId="0" applyNumberFormat="1" applyFont="1" applyBorder="1" applyAlignment="1">
      <alignment horizontal="center" vertical="center"/>
    </xf>
    <xf numFmtId="9" fontId="53" fillId="0" borderId="8" xfId="0" applyNumberFormat="1" applyFont="1" applyBorder="1" applyAlignment="1">
      <alignment horizontal="center" vertical="center"/>
    </xf>
    <xf numFmtId="9" fontId="51" fillId="0" borderId="0" xfId="0" applyNumberFormat="1" applyFont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7" borderId="17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center" vertical="center"/>
    </xf>
    <xf numFmtId="9" fontId="51" fillId="5" borderId="8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9" fontId="51" fillId="7" borderId="17" xfId="0" applyNumberFormat="1" applyFont="1" applyFill="1" applyBorder="1" applyAlignment="1">
      <alignment horizontal="center" vertical="center"/>
    </xf>
    <xf numFmtId="9" fontId="51" fillId="7" borderId="13" xfId="0" applyNumberFormat="1" applyFont="1" applyFill="1" applyBorder="1" applyAlignment="1">
      <alignment horizontal="center" vertical="center"/>
    </xf>
    <xf numFmtId="9" fontId="51" fillId="7" borderId="18" xfId="0" applyNumberFormat="1" applyFont="1" applyFill="1" applyBorder="1" applyAlignment="1">
      <alignment horizontal="center" vertical="center"/>
    </xf>
    <xf numFmtId="9" fontId="53" fillId="7" borderId="8" xfId="0" applyNumberFormat="1" applyFont="1" applyFill="1" applyBorder="1" applyAlignment="1">
      <alignment horizontal="center" vertical="center"/>
    </xf>
    <xf numFmtId="9" fontId="51" fillId="7" borderId="0" xfId="0" applyNumberFormat="1" applyFont="1" applyFill="1" applyAlignment="1">
      <alignment horizontal="center" vertical="center"/>
    </xf>
    <xf numFmtId="9" fontId="51" fillId="3" borderId="8" xfId="0" applyNumberFormat="1" applyFont="1" applyFill="1" applyBorder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11" fillId="0" borderId="13" xfId="0" applyFont="1" applyBorder="1"/>
    <xf numFmtId="0" fontId="8" fillId="0" borderId="8" xfId="0" applyFont="1" applyBorder="1"/>
    <xf numFmtId="0" fontId="11" fillId="0" borderId="17" xfId="0" applyFont="1" applyBorder="1" applyAlignment="1">
      <alignment horizontal="right"/>
    </xf>
    <xf numFmtId="0" fontId="11" fillId="0" borderId="17" xfId="0" applyFont="1" applyBorder="1"/>
    <xf numFmtId="0" fontId="11" fillId="0" borderId="18" xfId="0" applyFont="1" applyBorder="1" applyAlignment="1">
      <alignment horizontal="right"/>
    </xf>
    <xf numFmtId="0" fontId="11" fillId="0" borderId="18" xfId="0" applyFont="1" applyBorder="1"/>
    <xf numFmtId="0" fontId="8" fillId="0" borderId="13" xfId="0" applyFont="1" applyBorder="1" applyAlignment="1">
      <alignment horizontal="left" indent="1"/>
    </xf>
    <xf numFmtId="0" fontId="8" fillId="0" borderId="17" xfId="0" applyFont="1" applyBorder="1" applyAlignment="1">
      <alignment horizontal="left" indent="1"/>
    </xf>
    <xf numFmtId="0" fontId="8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41" fillId="0" borderId="29" xfId="0" quotePrefix="1" applyFont="1" applyBorder="1" applyAlignment="1">
      <alignment horizontal="center" vertical="center"/>
    </xf>
    <xf numFmtId="9" fontId="22" fillId="0" borderId="13" xfId="4" applyFont="1" applyBorder="1" applyAlignment="1">
      <alignment vertical="center"/>
    </xf>
    <xf numFmtId="9" fontId="22" fillId="0" borderId="17" xfId="4" applyFont="1" applyBorder="1" applyAlignment="1">
      <alignment vertical="center"/>
    </xf>
    <xf numFmtId="0" fontId="48" fillId="13" borderId="13" xfId="0" applyFont="1" applyFill="1" applyBorder="1" applyAlignment="1">
      <alignment horizontal="center" vertical="center"/>
    </xf>
    <xf numFmtId="0" fontId="22" fillId="13" borderId="13" xfId="6" applyFont="1" applyFill="1" applyBorder="1" applyAlignment="1">
      <alignment vertical="center"/>
    </xf>
    <xf numFmtId="0" fontId="43" fillId="13" borderId="13" xfId="6" applyFont="1" applyFill="1" applyBorder="1" applyAlignment="1">
      <alignment horizontal="center" vertical="center"/>
    </xf>
    <xf numFmtId="0" fontId="22" fillId="0" borderId="13" xfId="19" applyFont="1" applyBorder="1" applyAlignment="1">
      <alignment horizontal="center" vertical="center"/>
    </xf>
    <xf numFmtId="0" fontId="22" fillId="0" borderId="13" xfId="19" applyFont="1" applyBorder="1" applyAlignment="1">
      <alignment vertical="center"/>
    </xf>
    <xf numFmtId="0" fontId="43" fillId="0" borderId="13" xfId="19" applyFont="1" applyBorder="1" applyAlignment="1">
      <alignment horizontal="center" vertical="center"/>
    </xf>
    <xf numFmtId="4" fontId="22" fillId="0" borderId="16" xfId="19" applyNumberFormat="1" applyFont="1" applyBorder="1" applyAlignment="1">
      <alignment horizontal="center" vertical="center"/>
    </xf>
    <xf numFmtId="9" fontId="51" fillId="7" borderId="17" xfId="0" quotePrefix="1" applyNumberFormat="1" applyFont="1" applyFill="1" applyBorder="1" applyAlignment="1">
      <alignment horizontal="center" vertical="center"/>
    </xf>
    <xf numFmtId="9" fontId="51" fillId="7" borderId="13" xfId="0" quotePrefix="1" applyNumberFormat="1" applyFont="1" applyFill="1" applyBorder="1" applyAlignment="1">
      <alignment horizontal="center" vertical="center"/>
    </xf>
    <xf numFmtId="9" fontId="51" fillId="7" borderId="18" xfId="0" quotePrefix="1" applyNumberFormat="1" applyFont="1" applyFill="1" applyBorder="1" applyAlignment="1">
      <alignment horizontal="center" vertical="center"/>
    </xf>
    <xf numFmtId="9" fontId="53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22" fillId="0" borderId="0" xfId="19" applyFont="1" applyAlignment="1">
      <alignment vertical="center"/>
    </xf>
    <xf numFmtId="0" fontId="43" fillId="0" borderId="0" xfId="19" applyFont="1" applyAlignment="1">
      <alignment horizontal="center" vertical="center"/>
    </xf>
    <xf numFmtId="4" fontId="22" fillId="0" borderId="32" xfId="19" applyNumberFormat="1" applyFont="1" applyBorder="1" applyAlignment="1">
      <alignment horizontal="center" vertical="center"/>
    </xf>
    <xf numFmtId="9" fontId="22" fillId="0" borderId="0" xfId="4" applyFont="1" applyBorder="1" applyAlignment="1">
      <alignment vertical="center"/>
    </xf>
    <xf numFmtId="0" fontId="58" fillId="13" borderId="30" xfId="19" applyFont="1" applyFill="1" applyBorder="1" applyAlignment="1">
      <alignment vertical="center"/>
    </xf>
    <xf numFmtId="0" fontId="59" fillId="13" borderId="30" xfId="19" applyFont="1" applyFill="1" applyBorder="1" applyAlignment="1">
      <alignment horizontal="center" vertical="center"/>
    </xf>
    <xf numFmtId="4" fontId="58" fillId="13" borderId="31" xfId="19" applyNumberFormat="1" applyFont="1" applyFill="1" applyBorder="1" applyAlignment="1">
      <alignment horizontal="center" vertical="center"/>
    </xf>
    <xf numFmtId="9" fontId="58" fillId="13" borderId="30" xfId="4" applyFont="1" applyFill="1" applyBorder="1" applyAlignment="1">
      <alignment vertical="center"/>
    </xf>
    <xf numFmtId="0" fontId="22" fillId="13" borderId="13" xfId="19" applyFont="1" applyFill="1" applyBorder="1" applyAlignment="1">
      <alignment vertical="center"/>
    </xf>
    <xf numFmtId="0" fontId="43" fillId="13" borderId="13" xfId="19" applyFont="1" applyFill="1" applyBorder="1" applyAlignment="1">
      <alignment horizontal="center" vertical="center"/>
    </xf>
    <xf numFmtId="4" fontId="22" fillId="13" borderId="16" xfId="19" applyNumberFormat="1" applyFont="1" applyFill="1" applyBorder="1" applyAlignment="1">
      <alignment horizontal="center" vertical="center"/>
    </xf>
    <xf numFmtId="9" fontId="22" fillId="13" borderId="13" xfId="4" applyFont="1" applyFill="1" applyBorder="1" applyAlignment="1">
      <alignment vertical="center"/>
    </xf>
    <xf numFmtId="0" fontId="48" fillId="16" borderId="13" xfId="0" applyFont="1" applyFill="1" applyBorder="1" applyAlignment="1">
      <alignment horizontal="left" vertical="center"/>
    </xf>
    <xf numFmtId="0" fontId="48" fillId="16" borderId="13" xfId="0" applyFont="1" applyFill="1" applyBorder="1" applyAlignment="1">
      <alignment horizontal="center" vertical="center"/>
    </xf>
    <xf numFmtId="9" fontId="22" fillId="16" borderId="13" xfId="4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15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9" fontId="51" fillId="0" borderId="17" xfId="0" quotePrefix="1" applyNumberFormat="1" applyFont="1" applyBorder="1" applyAlignment="1">
      <alignment horizontal="center" vertical="center"/>
    </xf>
    <xf numFmtId="9" fontId="51" fillId="0" borderId="13" xfId="0" quotePrefix="1" applyNumberFormat="1" applyFont="1" applyBorder="1" applyAlignment="1">
      <alignment horizontal="center" vertical="center"/>
    </xf>
    <xf numFmtId="9" fontId="51" fillId="0" borderId="18" xfId="0" quotePrefix="1" applyNumberFormat="1" applyFont="1" applyBorder="1" applyAlignment="1">
      <alignment horizontal="center" vertical="center"/>
    </xf>
    <xf numFmtId="9" fontId="53" fillId="0" borderId="8" xfId="0" quotePrefix="1" applyNumberFormat="1" applyFont="1" applyBorder="1" applyAlignment="1">
      <alignment horizontal="center" vertical="center"/>
    </xf>
    <xf numFmtId="9" fontId="22" fillId="0" borderId="13" xfId="4" applyFont="1" applyFill="1" applyBorder="1" applyAlignment="1">
      <alignment vertic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/>
    <xf numFmtId="14" fontId="23" fillId="7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3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5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/>
    <cellStyle name="Comma 2 2" xfId="8"/>
    <cellStyle name="Currency 2" xfId="9"/>
    <cellStyle name="Currency 2 2" xfId="10"/>
    <cellStyle name="Currency 3" xfId="11"/>
    <cellStyle name="Hyperlink" xfId="1" builtinId="8"/>
    <cellStyle name="Hyperlink 2" xfId="12"/>
    <cellStyle name="Normal" xfId="0" builtinId="0"/>
    <cellStyle name="Normal 2" xfId="2"/>
    <cellStyle name="Normal 2 2" xfId="6"/>
    <cellStyle name="Normal 2 2 2" xfId="19"/>
    <cellStyle name="Normal 2 3" xfId="13"/>
    <cellStyle name="Normal 3" xfId="3"/>
    <cellStyle name="Normal 4" xfId="14"/>
    <cellStyle name="Normal 5" xfId="15"/>
    <cellStyle name="Normal 6" xfId="16"/>
    <cellStyle name="Percent" xfId="4" builtinId="5"/>
    <cellStyle name="Percent 2" xfId="5"/>
    <cellStyle name="Percent 2 2" xfId="17"/>
    <cellStyle name="Percent 3" xfId="18"/>
  </cellStyles>
  <dxfs count="1596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0E1FF"/>
      <color rgb="FFCCECFF"/>
      <color rgb="FFFFFF99"/>
      <color rgb="FFFFFF66"/>
      <color rgb="FFD2C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8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330-43C6-A275-65D7D54903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330-43C6-A275-65D7D54903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30-43C6-A275-65D7D54903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30-43C6-A275-65D7D54903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30-43C6-A275-65D7D54903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30-43C6-A275-65D7D54903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30-43C6-A275-65D7D54903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330-43C6-A275-65D7D5490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30-43C6-A275-65D7D549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{95690F46-D623-4F6D-8219-42AEDA9AE790}</c15:txfldGUID>
                      <c15:f>Credit_2021Q3!$J$8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8B0-400D-8A95-3930526E0D7F}"/>
                </c:ext>
              </c:extLst>
            </c:dLbl>
            <c:dLbl>
              <c:idx val="1"/>
              <c:tx>
                <c:strRef>
                  <c:f>Credit_2021Q3!$M$8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{B982F7DB-8BC4-444B-A4F2-BD83889A8098}</c15:txfldGUID>
                      <c15:f>Credit_2021Q3!$M$8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8B0-400D-8A95-3930526E0D7F}"/>
                </c:ext>
              </c:extLst>
            </c:dLbl>
            <c:dLbl>
              <c:idx val="2"/>
              <c:tx>
                <c:strRef>
                  <c:f>Credit_2021Q3!$P$8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{95E688C6-5CAB-442A-AE9A-1CA66FBD49B6}</c15:txfldGUID>
                      <c15:f>Credit_2021Q3!$P$8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8B0-400D-8A95-3930526E0D7F}"/>
                </c:ext>
              </c:extLst>
            </c:dLbl>
            <c:dLbl>
              <c:idx val="3"/>
              <c:tx>
                <c:strRef>
                  <c:f>Credit_2021Q3!$S$8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{D0945008-F5C5-4B3E-9DB8-42991F1B17B1}</c15:txfldGUID>
                      <c15:f>Credit_2021Q3!$S$8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8B0-400D-8A95-3930526E0D7F}"/>
                </c:ext>
              </c:extLst>
            </c:dLbl>
            <c:dLbl>
              <c:idx val="4"/>
              <c:tx>
                <c:strRef>
                  <c:f>Credit_2021Q3!$V$8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{59F068FD-AFA9-4536-B7A1-2E2FA25DAF87}</c15:txfldGUID>
                      <c15:f>Credit_2021Q3!$V$8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(Credit_2021Q3!$Z$8,Credit_2021Q3!$L$8,Credit_2021Q3!$O$8,Credit_2021Q3!$R$8,Credit_2021Q3!$U$8)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B0-400D-8A95-3930526E0D7F}"/>
            </c:ext>
          </c:extLst>
        </c:ser>
        <c:ser>
          <c:idx val="1"/>
          <c:order val="1"/>
          <c:tx>
            <c:strRef>
              <c:f>Credit_2021Q3!$J$9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{504366CE-2B4F-4034-9452-D1A9641E59BA}</c15:txfldGUID>
                      <c15:f>Credit_2021Q3!$J$9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8B0-400D-8A95-3930526E0D7F}"/>
                </c:ext>
              </c:extLst>
            </c:dLbl>
            <c:dLbl>
              <c:idx val="1"/>
              <c:tx>
                <c:strRef>
                  <c:f>Credit_2021Q3!$M$9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{0D023D56-BDA2-4B07-A4FB-B0DD56C3FD03}</c15:txfldGUID>
                      <c15:f>Credit_2021Q3!$M$9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8B0-400D-8A95-3930526E0D7F}"/>
                </c:ext>
              </c:extLst>
            </c:dLbl>
            <c:dLbl>
              <c:idx val="2"/>
              <c:tx>
                <c:strRef>
                  <c:f>Credit_2021Q3!$P$9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{6711D811-0C36-4AA4-8828-0B624A13A347}</c15:txfldGUID>
                      <c15:f>Credit_2021Q3!$P$9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8B0-400D-8A95-3930526E0D7F}"/>
                </c:ext>
              </c:extLst>
            </c:dLbl>
            <c:dLbl>
              <c:idx val="3"/>
              <c:tx>
                <c:strRef>
                  <c:f>Credit_2021Q3!$S$9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{97F8A6BD-3992-45D6-A3F7-B7A1BEFCF0CE}</c15:txfldGUID>
                      <c15:f>Credit_2021Q3!$S$9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B0-400D-8A95-3930526E0D7F}"/>
                </c:ext>
              </c:extLst>
            </c:dLbl>
            <c:dLbl>
              <c:idx val="4"/>
              <c:tx>
                <c:strRef>
                  <c:f>Credit_2021Q3!$V$9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{07461A66-2071-4985-98D7-B046C28BC62B}</c15:txfldGUID>
                      <c15:f>Credit_2021Q3!$V$9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(Credit_2021Q3!$Z$9,Credit_2021Q3!$L$9,Credit_2021Q3!$O$9,Credit_2021Q3!$R$9,Credit_2021Q3!$U$9)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B0-400D-8A95-3930526E0D7F}"/>
            </c:ext>
          </c:extLst>
        </c:ser>
        <c:ser>
          <c:idx val="2"/>
          <c:order val="2"/>
          <c:tx>
            <c:strRef>
              <c:f>Credit_2021Q3!$J$10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{9EDA6B8B-54D0-4B92-BB4C-3B9A21DB398E}</c15:txfldGUID>
                      <c15:f>Credit_2021Q3!$J$10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B0-400D-8A95-3930526E0D7F}"/>
                </c:ext>
              </c:extLst>
            </c:dLbl>
            <c:dLbl>
              <c:idx val="1"/>
              <c:tx>
                <c:strRef>
                  <c:f>Credit_2021Q3!$M$10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{EE0D6645-9E91-4E98-AE9D-DA5588E4FEA9}</c15:txfldGUID>
                      <c15:f>Credit_2021Q3!$M$10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B0-400D-8A95-3930526E0D7F}"/>
                </c:ext>
              </c:extLst>
            </c:dLbl>
            <c:dLbl>
              <c:idx val="2"/>
              <c:tx>
                <c:strRef>
                  <c:f>Credit_2021Q3!$P$10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{C0F39D02-A685-43C5-AD9A-34EAC8E96164}</c15:txfldGUID>
                      <c15:f>Credit_2021Q3!$P$10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B0-400D-8A95-3930526E0D7F}"/>
                </c:ext>
              </c:extLst>
            </c:dLbl>
            <c:dLbl>
              <c:idx val="3"/>
              <c:tx>
                <c:strRef>
                  <c:f>Credit_2021Q3!$S$10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{558B8F99-D0AF-460A-8155-C7413EEC5DB0}</c15:txfldGUID>
                      <c15:f>Credit_2021Q3!$S$10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B0-400D-8A95-3930526E0D7F}"/>
                </c:ext>
              </c:extLst>
            </c:dLbl>
            <c:dLbl>
              <c:idx val="4"/>
              <c:tx>
                <c:strRef>
                  <c:f>Credit_2021Q3!$V$10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{39130CAA-0773-466A-A083-E1DBB7A65A0E}</c15:txfldGUID>
                      <c15:f>Credit_2021Q3!$V$10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(Credit_2021Q3!$Z$10,Credit_2021Q3!$L$10,Credit_2021Q3!$O$10,Credit_2021Q3!$R$10,Credit_2021Q3!$U$10)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B0-400D-8A95-3930526E0D7F}"/>
            </c:ext>
          </c:extLst>
        </c:ser>
        <c:ser>
          <c:idx val="3"/>
          <c:order val="3"/>
          <c:tx>
            <c:strRef>
              <c:f>Credit_2021Q3!$J$11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{ECC143D5-8D04-487C-B7C1-F9F004A57654}</c15:txfldGUID>
                      <c15:f>Credit_2021Q3!$J$11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B0-400D-8A95-3930526E0D7F}"/>
                </c:ext>
              </c:extLst>
            </c:dLbl>
            <c:dLbl>
              <c:idx val="1"/>
              <c:tx>
                <c:strRef>
                  <c:f>Credit_2021Q3!$M$11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{407B4920-B151-4C59-9B93-BBDEC34063EE}</c15:txfldGUID>
                      <c15:f>Credit_2021Q3!$M$11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B0-400D-8A95-3930526E0D7F}"/>
                </c:ext>
              </c:extLst>
            </c:dLbl>
            <c:dLbl>
              <c:idx val="2"/>
              <c:tx>
                <c:strRef>
                  <c:f>Credit_2021Q3!$P$11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{D39948B7-658E-40E1-AEFC-2B3AEF442AFC}</c15:txfldGUID>
                      <c15:f>Credit_2021Q3!$P$11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B0-400D-8A95-3930526E0D7F}"/>
                </c:ext>
              </c:extLst>
            </c:dLbl>
            <c:dLbl>
              <c:idx val="3"/>
              <c:tx>
                <c:strRef>
                  <c:f>Credit_2021Q3!$S$11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{4067FD4F-5B56-4298-9AD3-B17BBDB8A129}</c15:txfldGUID>
                      <c15:f>Credit_2021Q3!$S$11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B0-400D-8A95-3930526E0D7F}"/>
                </c:ext>
              </c:extLst>
            </c:dLbl>
            <c:dLbl>
              <c:idx val="4"/>
              <c:tx>
                <c:strRef>
                  <c:f>Credit_2021Q3!$V$11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{D830E7C6-AF01-42F2-BFED-D42A3EFD6E88}</c15:txfldGUID>
                      <c15:f>Credit_2021Q3!$V$11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(Credit_2021Q3!$Z$11,Credit_2021Q3!$L$11,Credit_2021Q3!$O$11,Credit_2021Q3!$R$11,Credit_2021Q3!$U$11)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8B0-400D-8A95-3930526E0D7F}"/>
            </c:ext>
          </c:extLst>
        </c:ser>
        <c:ser>
          <c:idx val="4"/>
          <c:order val="4"/>
          <c:tx>
            <c:strRef>
              <c:f>Credit_2021Q3!$J$12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{1AFDBE0F-5A91-441F-BB39-5376EA4ED431}</c15:txfldGUID>
                      <c15:f>Credit_2021Q3!$J$12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B0-400D-8A95-3930526E0D7F}"/>
                </c:ext>
              </c:extLst>
            </c:dLbl>
            <c:dLbl>
              <c:idx val="1"/>
              <c:tx>
                <c:strRef>
                  <c:f>Credit_2021Q3!$M$12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{2881C808-71C0-48B8-8BAD-2051458FBDE9}</c15:txfldGUID>
                      <c15:f>Credit_2021Q3!$M$12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B0-400D-8A95-3930526E0D7F}"/>
                </c:ext>
              </c:extLst>
            </c:dLbl>
            <c:dLbl>
              <c:idx val="2"/>
              <c:tx>
                <c:strRef>
                  <c:f>Credit_2021Q3!$P$12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{E43B48FB-C072-4797-9803-1EB6F679AF4B}</c15:txfldGUID>
                      <c15:f>Credit_2021Q3!$P$12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8B0-400D-8A95-3930526E0D7F}"/>
                </c:ext>
              </c:extLst>
            </c:dLbl>
            <c:dLbl>
              <c:idx val="3"/>
              <c:tx>
                <c:strRef>
                  <c:f>Credit_2021Q3!$S$12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{CCAD817A-692E-49EE-81AB-8DC3E6D9C1CA}</c15:txfldGUID>
                      <c15:f>Credit_2021Q3!$S$12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B0-400D-8A95-3930526E0D7F}"/>
                </c:ext>
              </c:extLst>
            </c:dLbl>
            <c:dLbl>
              <c:idx val="4"/>
              <c:tx>
                <c:strRef>
                  <c:f>Credit_2021Q3!$V$12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{0631B1A9-5B08-4328-9563-AD6E60F5DF2E}</c15:txfldGUID>
                      <c15:f>Credit_2021Q3!$V$12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(Credit_2021Q3!$Z$12,Credit_2021Q3!$L$12,Credit_2021Q3!$O$12,Credit_2021Q3!$R$12,Credit_2021Q3!$U$12)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8B0-400D-8A95-3930526E0D7F}"/>
            </c:ext>
          </c:extLst>
        </c:ser>
        <c:ser>
          <c:idx val="5"/>
          <c:order val="5"/>
          <c:tx>
            <c:strRef>
              <c:f>Credit_2021Q3!$J$13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{665A4EB8-60EA-4ADF-906A-C4A10086D7E8}</c15:txfldGUID>
                      <c15:f>Credit_2021Q3!$J$13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8B0-400D-8A95-3930526E0D7F}"/>
                </c:ext>
              </c:extLst>
            </c:dLbl>
            <c:dLbl>
              <c:idx val="1"/>
              <c:tx>
                <c:strRef>
                  <c:f>Credit_2021Q3!$M$13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{F3DB0DD6-C975-4BCF-8F95-2B1F5ADF2926}</c15:txfldGUID>
                      <c15:f>Credit_2021Q3!$M$13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8B0-400D-8A95-3930526E0D7F}"/>
                </c:ext>
              </c:extLst>
            </c:dLbl>
            <c:dLbl>
              <c:idx val="2"/>
              <c:tx>
                <c:strRef>
                  <c:f>Credit_2021Q3!$P$13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{05507493-FF3E-42C5-99D3-BA1631F5B04B}</c15:txfldGUID>
                      <c15:f>Credit_2021Q3!$P$13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8B0-400D-8A95-3930526E0D7F}"/>
                </c:ext>
              </c:extLst>
            </c:dLbl>
            <c:dLbl>
              <c:idx val="3"/>
              <c:tx>
                <c:strRef>
                  <c:f>Credit_2021Q3!$S$13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{55C365A9-1CF8-4C82-AEA9-396383FCA04A}</c15:txfldGUID>
                      <c15:f>Credit_2021Q3!$S$13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8B0-400D-8A95-3930526E0D7F}"/>
                </c:ext>
              </c:extLst>
            </c:dLbl>
            <c:dLbl>
              <c:idx val="4"/>
              <c:tx>
                <c:strRef>
                  <c:f>Credit_2021Q3!$V$13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{8DC5A2D5-6E8D-4CD2-B767-6EDCD549F8D2}</c15:txfldGUID>
                      <c15:f>Credit_2021Q3!$V$13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(Credit_2021Q3!$Z$13,Credit_2021Q3!$L$13,Credit_2021Q3!$O$13,Credit_2021Q3!$R$13,Credit_2021Q3!$U$13)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8B0-400D-8A95-3930526E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40-4B93-8F1A-2AF01F705BF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40-4B93-8F1A-2AF01F705BF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C40-4B93-8F1A-2AF01F705BF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C40-4B93-8F1A-2AF01F705B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C40-4B93-8F1A-2AF01F705BF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C40-4B93-8F1A-2AF01F705BF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40-4B93-8F1A-2AF01F705BF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C40-4B93-8F1A-2AF01F705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0-4B93-8F1A-2AF01F70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{7C0A5FF9-31F4-4807-8F25-9F233164AEFA}</c15:txfldGUID>
                      <c15:f>Credit_2021Q2!$J$8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2B1-4CCA-9E4A-2E342A735CA5}"/>
                </c:ext>
              </c:extLst>
            </c:dLbl>
            <c:dLbl>
              <c:idx val="1"/>
              <c:tx>
                <c:strRef>
                  <c:f>Credit_2021Q2!$M$8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{35B4B8D2-82FA-4AA3-8F1C-A95D636058C3}</c15:txfldGUID>
                      <c15:f>Credit_2021Q2!$M$8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2B1-4CCA-9E4A-2E342A735CA5}"/>
                </c:ext>
              </c:extLst>
            </c:dLbl>
            <c:dLbl>
              <c:idx val="2"/>
              <c:tx>
                <c:strRef>
                  <c:f>Credit_2021Q2!$P$8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{67A1AECB-415F-422E-8E3E-044E84E04738}</c15:txfldGUID>
                      <c15:f>Credit_2021Q2!$P$8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2B1-4CCA-9E4A-2E342A735CA5}"/>
                </c:ext>
              </c:extLst>
            </c:dLbl>
            <c:dLbl>
              <c:idx val="3"/>
              <c:tx>
                <c:strRef>
                  <c:f>Credit_2021Q2!$S$8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{7360E37A-5046-4D43-A587-37B8CF9A7373}</c15:txfldGUID>
                      <c15:f>Credit_2021Q2!$S$8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2B1-4CCA-9E4A-2E342A735CA5}"/>
                </c:ext>
              </c:extLst>
            </c:dLbl>
            <c:dLbl>
              <c:idx val="4"/>
              <c:tx>
                <c:strRef>
                  <c:f>Credit_2021Q2!$V$8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{4E238518-182D-4C0D-BA88-94296418C799}</c15:txfldGUID>
                      <c15:f>Credit_2021Q2!$V$8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(Credit_2021Q2!$Z$8,Credit_2021Q2!$L$8,Credit_2021Q2!$O$8,Credit_2021Q2!$R$8,Credit_2021Q2!$U$8)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1-4CCA-9E4A-2E342A735CA5}"/>
            </c:ext>
          </c:extLst>
        </c:ser>
        <c:ser>
          <c:idx val="1"/>
          <c:order val="1"/>
          <c:tx>
            <c:strRef>
              <c:f>Credit_2021Q2!$J$9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{E5C93576-A270-4DA9-84E3-A418882EBE28}</c15:txfldGUID>
                      <c15:f>Credit_2021Q2!$J$9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2B1-4CCA-9E4A-2E342A735CA5}"/>
                </c:ext>
              </c:extLst>
            </c:dLbl>
            <c:dLbl>
              <c:idx val="1"/>
              <c:tx>
                <c:strRef>
                  <c:f>Credit_2021Q2!$M$9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{C382F156-B651-44D9-923D-E019E02EB873}</c15:txfldGUID>
                      <c15:f>Credit_2021Q2!$M$9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2B1-4CCA-9E4A-2E342A735CA5}"/>
                </c:ext>
              </c:extLst>
            </c:dLbl>
            <c:dLbl>
              <c:idx val="2"/>
              <c:tx>
                <c:strRef>
                  <c:f>Credit_2021Q2!$P$9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{E66826A6-7869-40C2-8B9B-540AF4AA6B7F}</c15:txfldGUID>
                      <c15:f>Credit_2021Q2!$P$9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2B1-4CCA-9E4A-2E342A735CA5}"/>
                </c:ext>
              </c:extLst>
            </c:dLbl>
            <c:dLbl>
              <c:idx val="3"/>
              <c:tx>
                <c:strRef>
                  <c:f>Credit_2021Q2!$S$9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{0DA46C56-3AF3-4A62-BCFD-1791A4809F0A}</c15:txfldGUID>
                      <c15:f>Credit_2021Q2!$S$9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1-4CCA-9E4A-2E342A735CA5}"/>
                </c:ext>
              </c:extLst>
            </c:dLbl>
            <c:dLbl>
              <c:idx val="4"/>
              <c:tx>
                <c:strRef>
                  <c:f>Credit_2021Q2!$V$9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{4FC3CF65-484E-477E-B653-C22C809C0C7B}</c15:txfldGUID>
                      <c15:f>Credit_2021Q2!$V$9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(Credit_2021Q2!$Z$9,Credit_2021Q2!$L$9,Credit_2021Q2!$O$9,Credit_2021Q2!$R$9,Credit_2021Q2!$U$9)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1-4CCA-9E4A-2E342A735CA5}"/>
            </c:ext>
          </c:extLst>
        </c:ser>
        <c:ser>
          <c:idx val="2"/>
          <c:order val="2"/>
          <c:tx>
            <c:strRef>
              <c:f>Credit_2021Q2!$J$10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{6B7525A6-DA27-4233-BBA5-EC1AC8C759C4}</c15:txfldGUID>
                      <c15:f>Credit_2021Q2!$J$10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1-4CCA-9E4A-2E342A735CA5}"/>
                </c:ext>
              </c:extLst>
            </c:dLbl>
            <c:dLbl>
              <c:idx val="1"/>
              <c:tx>
                <c:strRef>
                  <c:f>Credit_2021Q2!$M$10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{70F0D332-3C6A-4463-8FD0-ED6930AD9643}</c15:txfldGUID>
                      <c15:f>Credit_2021Q2!$M$10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1-4CCA-9E4A-2E342A735CA5}"/>
                </c:ext>
              </c:extLst>
            </c:dLbl>
            <c:dLbl>
              <c:idx val="2"/>
              <c:tx>
                <c:strRef>
                  <c:f>Credit_2021Q2!$P$10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{E16D937C-3058-4709-8E4A-560CDBC1FA3F}</c15:txfldGUID>
                      <c15:f>Credit_2021Q2!$P$10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1-4CCA-9E4A-2E342A735CA5}"/>
                </c:ext>
              </c:extLst>
            </c:dLbl>
            <c:dLbl>
              <c:idx val="3"/>
              <c:tx>
                <c:strRef>
                  <c:f>Credit_2021Q2!$S$10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{2F105F58-1231-42B3-88EE-7A8C5D462E71}</c15:txfldGUID>
                      <c15:f>Credit_2021Q2!$S$10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1-4CCA-9E4A-2E342A735CA5}"/>
                </c:ext>
              </c:extLst>
            </c:dLbl>
            <c:dLbl>
              <c:idx val="4"/>
              <c:tx>
                <c:strRef>
                  <c:f>Credit_2021Q2!$V$10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{1977B3EA-3F40-48ED-BF0D-6F55D32AF475}</c15:txfldGUID>
                      <c15:f>Credit_2021Q2!$V$10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(Credit_2021Q2!$Z$10,Credit_2021Q2!$L$10,Credit_2021Q2!$O$10,Credit_2021Q2!$R$10,Credit_2021Q2!$U$10)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B1-4CCA-9E4A-2E342A735CA5}"/>
            </c:ext>
          </c:extLst>
        </c:ser>
        <c:ser>
          <c:idx val="3"/>
          <c:order val="3"/>
          <c:tx>
            <c:strRef>
              <c:f>Credit_2021Q2!$J$11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{C59EE483-C216-4E69-B1AD-2A1CE164A5B3}</c15:txfldGUID>
                      <c15:f>Credit_2021Q2!$J$11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1-4CCA-9E4A-2E342A735CA5}"/>
                </c:ext>
              </c:extLst>
            </c:dLbl>
            <c:dLbl>
              <c:idx val="1"/>
              <c:tx>
                <c:strRef>
                  <c:f>Credit_2021Q2!$M$11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{8CA00785-CFBA-49F9-9CA8-4BFA88CEA368}</c15:txfldGUID>
                      <c15:f>Credit_2021Q2!$M$11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1-4CCA-9E4A-2E342A735CA5}"/>
                </c:ext>
              </c:extLst>
            </c:dLbl>
            <c:dLbl>
              <c:idx val="2"/>
              <c:tx>
                <c:strRef>
                  <c:f>Credit_2021Q2!$P$11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{1FCD19C3-4B5C-4B6D-B706-6E7BE67D493E}</c15:txfldGUID>
                      <c15:f>Credit_2021Q2!$P$11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1-4CCA-9E4A-2E342A735CA5}"/>
                </c:ext>
              </c:extLst>
            </c:dLbl>
            <c:dLbl>
              <c:idx val="3"/>
              <c:tx>
                <c:strRef>
                  <c:f>Credit_2021Q2!$S$11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{A964E078-DAEF-403D-8E23-486FB0176253}</c15:txfldGUID>
                      <c15:f>Credit_2021Q2!$S$11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1-4CCA-9E4A-2E342A735CA5}"/>
                </c:ext>
              </c:extLst>
            </c:dLbl>
            <c:dLbl>
              <c:idx val="4"/>
              <c:tx>
                <c:strRef>
                  <c:f>Credit_2021Q2!$V$11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{B1DED287-C09D-4543-B681-2B1FEC747B5F}</c15:txfldGUID>
                      <c15:f>Credit_2021Q2!$V$11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(Credit_2021Q2!$Z$11,Credit_2021Q2!$L$11,Credit_2021Q2!$O$11,Credit_2021Q2!$R$11,Credit_2021Q2!$U$11)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B1-4CCA-9E4A-2E342A735CA5}"/>
            </c:ext>
          </c:extLst>
        </c:ser>
        <c:ser>
          <c:idx val="4"/>
          <c:order val="4"/>
          <c:tx>
            <c:strRef>
              <c:f>Credit_2021Q2!$J$12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{10F902FE-0F71-457C-B4E1-D6A1C0BF30E1}</c15:txfldGUID>
                      <c15:f>Credit_2021Q2!$J$12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2B1-4CCA-9E4A-2E342A735CA5}"/>
                </c:ext>
              </c:extLst>
            </c:dLbl>
            <c:dLbl>
              <c:idx val="1"/>
              <c:tx>
                <c:strRef>
                  <c:f>Credit_2021Q2!$M$12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{5E690D75-E1BF-436E-86A2-3EDBF3C3D60C}</c15:txfldGUID>
                      <c15:f>Credit_2021Q2!$M$12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1-4CCA-9E4A-2E342A735CA5}"/>
                </c:ext>
              </c:extLst>
            </c:dLbl>
            <c:dLbl>
              <c:idx val="2"/>
              <c:tx>
                <c:strRef>
                  <c:f>Credit_2021Q2!$P$12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{7A25C509-EA93-43BC-9343-05C477195655}</c15:txfldGUID>
                      <c15:f>Credit_2021Q2!$P$12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2B1-4CCA-9E4A-2E342A735CA5}"/>
                </c:ext>
              </c:extLst>
            </c:dLbl>
            <c:dLbl>
              <c:idx val="3"/>
              <c:tx>
                <c:strRef>
                  <c:f>Credit_2021Q2!$S$12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{47FB6881-71CC-4DA7-BF9D-1638377747C8}</c15:txfldGUID>
                      <c15:f>Credit_2021Q2!$S$12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2B1-4CCA-9E4A-2E342A735CA5}"/>
                </c:ext>
              </c:extLst>
            </c:dLbl>
            <c:dLbl>
              <c:idx val="4"/>
              <c:tx>
                <c:strRef>
                  <c:f>Credit_2021Q2!$V$12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{511B2BF8-F212-4B36-9D47-F2B7DBBC614C}</c15:txfldGUID>
                      <c15:f>Credit_2021Q2!$V$12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(Credit_2021Q2!$Z$12,Credit_2021Q2!$L$12,Credit_2021Q2!$O$12,Credit_2021Q2!$R$12,Credit_2021Q2!$U$12)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B1-4CCA-9E4A-2E342A735CA5}"/>
            </c:ext>
          </c:extLst>
        </c:ser>
        <c:ser>
          <c:idx val="5"/>
          <c:order val="5"/>
          <c:tx>
            <c:strRef>
              <c:f>Credit_2021Q2!$J$13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{BC1CD0FF-400A-4DF8-8696-97E2C3179C18}</c15:txfldGUID>
                      <c15:f>Credit_2021Q2!$J$13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2B1-4CCA-9E4A-2E342A735CA5}"/>
                </c:ext>
              </c:extLst>
            </c:dLbl>
            <c:dLbl>
              <c:idx val="1"/>
              <c:tx>
                <c:strRef>
                  <c:f>Credit_2021Q2!$M$13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{7889FFD5-1ACE-48D4-B28B-E4166EED1A0E}</c15:txfldGUID>
                      <c15:f>Credit_2021Q2!$M$13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2B1-4CCA-9E4A-2E342A735CA5}"/>
                </c:ext>
              </c:extLst>
            </c:dLbl>
            <c:dLbl>
              <c:idx val="2"/>
              <c:tx>
                <c:strRef>
                  <c:f>Credit_2021Q2!$P$13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{3B2492FF-219B-4422-A02E-C5FB9BC48349}</c15:txfldGUID>
                      <c15:f>Credit_2021Q2!$P$13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2B1-4CCA-9E4A-2E342A735CA5}"/>
                </c:ext>
              </c:extLst>
            </c:dLbl>
            <c:dLbl>
              <c:idx val="3"/>
              <c:tx>
                <c:strRef>
                  <c:f>Credit_2021Q2!$S$13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{483042B0-3ED4-46BD-ACCF-5FD17AA7A9FB}</c15:txfldGUID>
                      <c15:f>Credit_2021Q2!$S$13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2B1-4CCA-9E4A-2E342A735CA5}"/>
                </c:ext>
              </c:extLst>
            </c:dLbl>
            <c:dLbl>
              <c:idx val="4"/>
              <c:tx>
                <c:strRef>
                  <c:f>Credit_2021Q2!$V$13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{096823AA-2E7B-4F4E-85E5-CF029559C003}</c15:txfldGUID>
                      <c15:f>Credit_2021Q2!$V$13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(Credit_2021Q2!$Z$13,Credit_2021Q2!$L$13,Credit_2021Q2!$O$13,Credit_2021Q2!$R$13,Credit_2021Q2!$U$13)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2B1-4CCA-9E4A-2E342A73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8C5-48F6-8315-2B64DCDFDE2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8C5-48F6-8315-2B64DCDFDE2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8C5-48F6-8315-2B64DCDFDE2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8C5-48F6-8315-2B64DCDFDE2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8C5-48F6-8315-2B64DCDFDE2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8C5-48F6-8315-2B64DCDFDE2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C5-48F6-8315-2B64DCDFDE2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C5-48F6-8315-2B64DCDFD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C5-48F6-8315-2B64DCDF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{0EF0EBCD-42DC-4E89-BD23-22EDFF2A373D}</c15:txfldGUID>
                      <c15:f>Credit_2021Q1!$J$8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EC-42E6-9F02-FBEC8A983FA8}"/>
                </c:ext>
              </c:extLst>
            </c:dLbl>
            <c:dLbl>
              <c:idx val="1"/>
              <c:tx>
                <c:strRef>
                  <c:f>Credit_2021Q1!$M$8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{B349B2F1-11C8-4DB6-AF5F-220D6530F7B9}</c15:txfldGUID>
                      <c15:f>Credit_2021Q1!$M$8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EC-42E6-9F02-FBEC8A983FA8}"/>
                </c:ext>
              </c:extLst>
            </c:dLbl>
            <c:dLbl>
              <c:idx val="2"/>
              <c:tx>
                <c:strRef>
                  <c:f>Credit_2021Q1!$P$8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{5F36C2D5-A885-4F9E-9A19-3D3EE03E6C79}</c15:txfldGUID>
                      <c15:f>Credit_2021Q1!$P$8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EC-42E6-9F02-FBEC8A983FA8}"/>
                </c:ext>
              </c:extLst>
            </c:dLbl>
            <c:dLbl>
              <c:idx val="3"/>
              <c:tx>
                <c:strRef>
                  <c:f>Credit_2021Q1!$S$8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{21207FB5-1ABF-4056-BD21-CF2E86DC0AA1}</c15:txfldGUID>
                      <c15:f>Credit_2021Q1!$S$8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EC-42E6-9F02-FBEC8A983FA8}"/>
                </c:ext>
              </c:extLst>
            </c:dLbl>
            <c:dLbl>
              <c:idx val="4"/>
              <c:tx>
                <c:strRef>
                  <c:f>Credit_2021Q1!$V$8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{9EBE1A30-065C-4BD1-BEFF-8AC9BAE3A930}</c15:txfldGUID>
                      <c15:f>Credit_2021Q1!$V$8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(Credit_2021Q1!$Z$8,Credit_2021Q1!$L$8,Credit_2021Q1!$O$8,Credit_2021Q1!$R$8,Credit_2021Q1!$U$8)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C-42E6-9F02-FBEC8A983FA8}"/>
            </c:ext>
          </c:extLst>
        </c:ser>
        <c:ser>
          <c:idx val="1"/>
          <c:order val="1"/>
          <c:tx>
            <c:strRef>
              <c:f>Credit_2021Q1!$J$9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{A570D12B-3F51-490A-BB99-B450D3EA2748}</c15:txfldGUID>
                      <c15:f>Credit_2021Q1!$J$9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EC-42E6-9F02-FBEC8A983FA8}"/>
                </c:ext>
              </c:extLst>
            </c:dLbl>
            <c:dLbl>
              <c:idx val="1"/>
              <c:tx>
                <c:strRef>
                  <c:f>Credit_2021Q1!$M$9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{1D0586DF-C633-4C20-9183-4C06CF5FD888}</c15:txfldGUID>
                      <c15:f>Credit_2021Q1!$M$9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EC-42E6-9F02-FBEC8A983FA8}"/>
                </c:ext>
              </c:extLst>
            </c:dLbl>
            <c:dLbl>
              <c:idx val="2"/>
              <c:tx>
                <c:strRef>
                  <c:f>Credit_2021Q1!$P$9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{FD5257F9-C497-4C4F-B7C5-4E6B2FC695AF}</c15:txfldGUID>
                      <c15:f>Credit_2021Q1!$P$9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EC-42E6-9F02-FBEC8A983FA8}"/>
                </c:ext>
              </c:extLst>
            </c:dLbl>
            <c:dLbl>
              <c:idx val="3"/>
              <c:tx>
                <c:strRef>
                  <c:f>Credit_2021Q1!$S$9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{451AFBD9-EBCB-46D2-9DD4-397A85989C6A}</c15:txfldGUID>
                      <c15:f>Credit_2021Q1!$S$9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EC-42E6-9F02-FBEC8A983FA8}"/>
                </c:ext>
              </c:extLst>
            </c:dLbl>
            <c:dLbl>
              <c:idx val="4"/>
              <c:tx>
                <c:strRef>
                  <c:f>Credit_2021Q1!$V$9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{5F54D13A-0708-4467-BD13-E3CF53EC5C86}</c15:txfldGUID>
                      <c15:f>Credit_2021Q1!$V$9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(Credit_2021Q1!$Z$9,Credit_2021Q1!$L$9,Credit_2021Q1!$O$9,Credit_2021Q1!$R$9,Credit_2021Q1!$U$9)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EC-42E6-9F02-FBEC8A983FA8}"/>
            </c:ext>
          </c:extLst>
        </c:ser>
        <c:ser>
          <c:idx val="2"/>
          <c:order val="2"/>
          <c:tx>
            <c:strRef>
              <c:f>Credit_2021Q1!$J$10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{F13B0AD1-9260-407B-A7B7-9D5FC52E3ED3}</c15:txfldGUID>
                      <c15:f>Credit_2021Q1!$J$10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EC-42E6-9F02-FBEC8A983FA8}"/>
                </c:ext>
              </c:extLst>
            </c:dLbl>
            <c:dLbl>
              <c:idx val="1"/>
              <c:tx>
                <c:strRef>
                  <c:f>Credit_2021Q1!$M$10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{9EBE9C27-A20D-4093-8854-D33785E28AF6}</c15:txfldGUID>
                      <c15:f>Credit_2021Q1!$M$10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EC-42E6-9F02-FBEC8A983FA8}"/>
                </c:ext>
              </c:extLst>
            </c:dLbl>
            <c:dLbl>
              <c:idx val="2"/>
              <c:tx>
                <c:strRef>
                  <c:f>Credit_2021Q1!$P$10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{8EA894C5-6AB6-44A7-A7CC-00FB8B827BBE}</c15:txfldGUID>
                      <c15:f>Credit_2021Q1!$P$10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EC-42E6-9F02-FBEC8A983FA8}"/>
                </c:ext>
              </c:extLst>
            </c:dLbl>
            <c:dLbl>
              <c:idx val="3"/>
              <c:tx>
                <c:strRef>
                  <c:f>Credit_2021Q1!$S$10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{889C336B-D7C9-46F9-8013-063DDB33A567}</c15:txfldGUID>
                      <c15:f>Credit_2021Q1!$S$10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EC-42E6-9F02-FBEC8A983FA8}"/>
                </c:ext>
              </c:extLst>
            </c:dLbl>
            <c:dLbl>
              <c:idx val="4"/>
              <c:tx>
                <c:strRef>
                  <c:f>Credit_2021Q1!$V$10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{2C4DB3EC-857B-48A6-86E4-E263F4D5D657}</c15:txfldGUID>
                      <c15:f>Credit_2021Q1!$V$10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(Credit_2021Q1!$Z$10,Credit_2021Q1!$L$10,Credit_2021Q1!$O$10,Credit_2021Q1!$R$10,Credit_2021Q1!$U$10)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EC-42E6-9F02-FBEC8A983FA8}"/>
            </c:ext>
          </c:extLst>
        </c:ser>
        <c:ser>
          <c:idx val="3"/>
          <c:order val="3"/>
          <c:tx>
            <c:strRef>
              <c:f>Credit_2021Q1!$J$11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{0135ABE3-0BFC-4213-918F-E0FDDF19F006}</c15:txfldGUID>
                      <c15:f>Credit_2021Q1!$J$11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EC-42E6-9F02-FBEC8A983FA8}"/>
                </c:ext>
              </c:extLst>
            </c:dLbl>
            <c:dLbl>
              <c:idx val="1"/>
              <c:tx>
                <c:strRef>
                  <c:f>Credit_2021Q1!$M$11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{70D9CA60-7025-4856-9DD8-55ADA68D94A3}</c15:txfldGUID>
                      <c15:f>Credit_2021Q1!$M$11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EC-42E6-9F02-FBEC8A983FA8}"/>
                </c:ext>
              </c:extLst>
            </c:dLbl>
            <c:dLbl>
              <c:idx val="2"/>
              <c:tx>
                <c:strRef>
                  <c:f>Credit_2021Q1!$P$11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{E29E1161-09DF-4EBD-979C-4C79CCA621C4}</c15:txfldGUID>
                      <c15:f>Credit_2021Q1!$P$11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EC-42E6-9F02-FBEC8A983FA8}"/>
                </c:ext>
              </c:extLst>
            </c:dLbl>
            <c:dLbl>
              <c:idx val="3"/>
              <c:tx>
                <c:strRef>
                  <c:f>Credit_2021Q1!$S$11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{4C9E4BDE-3BE6-4618-A995-C7288F1925F7}</c15:txfldGUID>
                      <c15:f>Credit_2021Q1!$S$11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EC-42E6-9F02-FBEC8A983FA8}"/>
                </c:ext>
              </c:extLst>
            </c:dLbl>
            <c:dLbl>
              <c:idx val="4"/>
              <c:tx>
                <c:strRef>
                  <c:f>Credit_2021Q1!$V$11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{2304339C-4DF4-4433-9010-B9947ABD173D}</c15:txfldGUID>
                      <c15:f>Credit_2021Q1!$V$11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(Credit_2021Q1!$Z$11,Credit_2021Q1!$L$11,Credit_2021Q1!$O$11,Credit_2021Q1!$R$11,Credit_2021Q1!$U$11)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EC-42E6-9F02-FBEC8A983FA8}"/>
            </c:ext>
          </c:extLst>
        </c:ser>
        <c:ser>
          <c:idx val="4"/>
          <c:order val="4"/>
          <c:tx>
            <c:strRef>
              <c:f>Credit_2021Q1!$J$12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{2F58697D-4C22-4B10-A6D2-294A50A2A54C}</c15:txfldGUID>
                      <c15:f>Credit_2021Q1!$J$12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EC-42E6-9F02-FBEC8A983FA8}"/>
                </c:ext>
              </c:extLst>
            </c:dLbl>
            <c:dLbl>
              <c:idx val="1"/>
              <c:tx>
                <c:strRef>
                  <c:f>Credit_2021Q1!$M$12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{CE1FF304-CD62-4C6C-807D-0E1086341BC3}</c15:txfldGUID>
                      <c15:f>Credit_2021Q1!$M$12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EC-42E6-9F02-FBEC8A983FA8}"/>
                </c:ext>
              </c:extLst>
            </c:dLbl>
            <c:dLbl>
              <c:idx val="2"/>
              <c:tx>
                <c:strRef>
                  <c:f>Credit_2021Q1!$P$12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{F935F837-F751-4796-83FF-DF0476A6E07A}</c15:txfldGUID>
                      <c15:f>Credit_2021Q1!$P$12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EC-42E6-9F02-FBEC8A983FA8}"/>
                </c:ext>
              </c:extLst>
            </c:dLbl>
            <c:dLbl>
              <c:idx val="3"/>
              <c:tx>
                <c:strRef>
                  <c:f>Credit_2021Q1!$S$12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{7BA5B31D-9019-48CB-BFB3-2459719B6525}</c15:txfldGUID>
                      <c15:f>Credit_2021Q1!$S$12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EC-42E6-9F02-FBEC8A983FA8}"/>
                </c:ext>
              </c:extLst>
            </c:dLbl>
            <c:dLbl>
              <c:idx val="4"/>
              <c:tx>
                <c:strRef>
                  <c:f>Credit_2021Q1!$V$12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{F038FA2F-600B-439D-B341-E22A9020DF0B}</c15:txfldGUID>
                      <c15:f>Credit_2021Q1!$V$12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(Credit_2021Q1!$Z$12,Credit_2021Q1!$L$12,Credit_2021Q1!$O$12,Credit_2021Q1!$R$12,Credit_2021Q1!$U$12)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7EC-42E6-9F02-FBEC8A983FA8}"/>
            </c:ext>
          </c:extLst>
        </c:ser>
        <c:ser>
          <c:idx val="5"/>
          <c:order val="5"/>
          <c:tx>
            <c:strRef>
              <c:f>Credit_2021Q1!$J$13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{754F6EC4-26BF-44D1-B752-B34C3C5ABDD6}</c15:txfldGUID>
                      <c15:f>Credit_2021Q1!$J$13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EC-42E6-9F02-FBEC8A983FA8}"/>
                </c:ext>
              </c:extLst>
            </c:dLbl>
            <c:dLbl>
              <c:idx val="1"/>
              <c:tx>
                <c:strRef>
                  <c:f>Credit_2021Q1!$M$13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{362907BD-E297-4C18-99BD-2C2581BA208C}</c15:txfldGUID>
                      <c15:f>Credit_2021Q1!$M$13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EC-42E6-9F02-FBEC8A983FA8}"/>
                </c:ext>
              </c:extLst>
            </c:dLbl>
            <c:dLbl>
              <c:idx val="2"/>
              <c:tx>
                <c:strRef>
                  <c:f>Credit_2021Q1!$P$13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{4F6F2113-1261-4FB6-8C5E-38CED392E70F}</c15:txfldGUID>
                      <c15:f>Credit_2021Q1!$P$13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EC-42E6-9F02-FBEC8A983FA8}"/>
                </c:ext>
              </c:extLst>
            </c:dLbl>
            <c:dLbl>
              <c:idx val="3"/>
              <c:tx>
                <c:strRef>
                  <c:f>Credit_2021Q1!$S$13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{40EFA1CE-771B-41DE-A19C-D2C2D7C7D7C6}</c15:txfldGUID>
                      <c15:f>Credit_2021Q1!$S$13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EC-42E6-9F02-FBEC8A983FA8}"/>
                </c:ext>
              </c:extLst>
            </c:dLbl>
            <c:dLbl>
              <c:idx val="4"/>
              <c:tx>
                <c:strRef>
                  <c:f>Credit_2021Q1!$V$13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{F095DDE7-E7D1-4C4B-9232-9A9A2AD1670E}</c15:txfldGUID>
                      <c15:f>Credit_2021Q1!$V$13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(Credit_2021Q1!$Z$13,Credit_2021Q1!$L$13,Credit_2021Q1!$O$13,Credit_2021Q1!$R$13,Credit_2021Q1!$U$13)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EC-42E6-9F02-FBEC8A98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{87E16DA5-D9FD-4B81-9020-A77108CCB583}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{0046B58B-A994-4536-B287-A911E5CDDFFA}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{6F40A30F-7F99-4375-B583-E5B552A8F697}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{743CDB40-CD90-43B5-89AA-58980F35FCD1}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{941F2F4E-1305-4CC2-BB36-DE4854AB833C}</c15:txfldGUID>
                      <c15:f>Credit_2020Q4!$V$8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{75715FEA-BE5E-49FC-9A23-321225AEBC55}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{5BB68AE5-C285-4096-AC73-6C9647C1EA22}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{E1BC735B-9DBF-4CE9-9FBC-A0109B397A98}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{02122DCF-F67F-4ACB-AF69-B820CBC1F01D}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{AC8E9EBB-6FBF-438C-81F2-023BC4D73209}</c15:txfldGUID>
                      <c15:f>Credit_2020Q4!$V$9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{A7B72316-4986-4F64-A309-0141F9AA0F7A}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{CEF0BA2B-0707-4826-947E-F18D73402909}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{AA312BB1-038B-4BA6-9EF7-A19DAD1372A1}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{84B766FD-D1FD-4835-8193-4DD93D6EC888}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{E24DDB87-AFE7-41E5-AD56-2E1AD9F1CBD5}</c15:txfldGUID>
                      <c15:f>Credit_2020Q4!$V$10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{AC4B3AB3-59D0-423A-981F-F74A15CFC5C4}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{BD43F958-6B70-4FDF-A6F7-BBA620BFD8A5}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{E2524299-4A05-41AF-810D-9146B0301D0E}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{EC27DD2E-EE29-4E05-9A27-02FBA042C6D0}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{654B0F0F-1FB4-4910-8D6A-5AD0008D8F3B}</c15:txfldGUID>
                      <c15:f>Credit_2020Q4!$V$11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{011E28E9-51F5-4A5D-9325-713610565FA0}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{0535714D-C3B6-4042-B6B4-7473FEC387AD}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{FBFC7AAF-7492-4808-A8E1-F6FBF208E73A}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{316B44CC-1277-453A-A887-083AAFA36A78}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{70822F89-4CA7-478F-8F17-27D90FED7353}</c15:txfldGUID>
                      <c15:f>Credit_2020Q4!$V$12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{21D405DA-86C3-4A84-B67B-C517ED973793}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{7A13984E-6F9D-492E-AFB4-2A410BF631F7}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{3D07A112-7789-4837-9306-C62D5487EE9F}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{0094E6AB-2E58-4F71-84B9-2B6FD92C188F}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{4CED1CE0-331D-4C45-8045-66C9C3D6AE97}</c15:txfldGUID>
                      <c15:f>Credit_2020Q4!$V$13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{17B6CD72-286E-408F-BE06-337DD4BDDCA9}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{7A9920A2-6D45-431C-BDB7-65B4794C3B15}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{FF0E586C-3F4E-4309-A3E8-1B583A6F5D38}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{4934BC86-E0EB-48BD-B45B-BC41EB9FE1C7}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{CE2C9B65-038F-4C18-B920-01D9FF81D1ED}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{AF373F6E-1959-40E3-97FB-D4FF99BC3EC6}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{2FD9F4B7-9C97-41A2-9F29-D7BC68B6DE45}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{04514774-F1F4-451F-AEAC-7E2A37BAC101}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{1599BB45-F21C-48BF-8033-8664B0BA2CA3}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{5ED0871A-5903-4B32-8101-68C6B76AEB71}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{CAD682C0-2DA9-4E43-B044-B510E9C01BA8}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{98017773-8514-4B13-808E-EC1D9FE6BF46}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{98680168-4E05-4338-87EC-0A60EC3603D8}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{F9E3DED7-52E6-4881-BC48-9CAD2DA00858}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{EAB991C8-A034-4CCB-9E52-889E95F8FA58}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{BB366646-C77D-4024-8EB6-39290773812E}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{45B358E7-BE18-4B57-94B4-F86C38509C1E}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{DF4708E6-BA34-4F75-A1E0-C90ECEAAB5B1}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{97D58506-4BEC-47B7-BB25-A7458F980AC2}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{5889BB90-61A0-460D-A1C1-9FCCF8286B1A}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{2ED2117E-09D6-43F0-A6FA-C7F6AED96A70}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{BF2509E8-869E-45D7-9225-2A2448D3880F}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{834ABF37-075B-47E0-9EA6-14839C182F05}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{43DB82A2-D0A0-4B1D-8171-4700B828F7B9}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{4A5208ED-3FC1-4104-8312-D4AEF70152C5}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{CD8170B1-6170-4823-AD66-FFB6CAD67663}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{97708C64-F6B3-411C-8A77-9849CAD4D983}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{39E4A855-8B7F-4EE0-B0C1-E303751F9996}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{F02F0FD9-5D5D-4FBB-ABE3-D89067864C1B}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{5E5F9CF3-6E99-48E6-8FBC-79203CE4D468}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Downgrades'!$B$29:$CK$29</c:f>
              <c:numCache>
                <c:formatCode>General</c:formatCode>
                <c:ptCount val="88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4</c:v>
                </c:pt>
                <c:pt idx="8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Downgrades'!$B$30:$CK$30</c:f>
              <c:numCache>
                <c:formatCode>General</c:formatCode>
                <c:ptCount val="88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  <c:pt idx="80">
                  <c:v>0</c:v>
                </c:pt>
                <c:pt idx="81">
                  <c:v>-1</c:v>
                </c:pt>
                <c:pt idx="82">
                  <c:v>0</c:v>
                </c:pt>
                <c:pt idx="83">
                  <c:v>-3</c:v>
                </c:pt>
                <c:pt idx="84">
                  <c:v>-3</c:v>
                </c:pt>
                <c:pt idx="8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Downgrades'!$B$31:$CK$31</c:f>
              <c:numCache>
                <c:formatCode>General</c:formatCode>
                <c:ptCount val="88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Downgrades'!$B$32:$CG$32</c:f>
              <c:numCache>
                <c:formatCode>General</c:formatCode>
                <c:ptCount val="84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  <c:pt idx="80">
                  <c:v>-3</c:v>
                </c:pt>
                <c:pt idx="81">
                  <c:v>0</c:v>
                </c:pt>
                <c:pt idx="82">
                  <c:v>-3</c:v>
                </c:pt>
                <c:pt idx="8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Downgrades'!$B$33:$CK$33</c:f>
              <c:numCache>
                <c:formatCode>General</c:formatCode>
                <c:ptCount val="88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14</c:v>
                </c:pt>
                <c:pt idx="84">
                  <c:v>0</c:v>
                </c:pt>
                <c:pt idx="8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Downgrades'!$B$34:$CK$34</c:f>
              <c:numCache>
                <c:formatCode>General</c:formatCode>
                <c:ptCount val="88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  <c:pt idx="80">
                  <c:v>-9</c:v>
                </c:pt>
                <c:pt idx="81">
                  <c:v>-1</c:v>
                </c:pt>
                <c:pt idx="82">
                  <c:v>-2</c:v>
                </c:pt>
                <c:pt idx="83">
                  <c:v>-7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{369BCF8E-381D-4084-B26A-9B00F515FEF9}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{27CB634E-3FA5-4D92-AD79-F831185D6316}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{A7600E2F-DF55-4F11-8D73-DC42C8145CFE}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{B5B8C213-C122-48DD-84D8-A2F41A61BF88}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{86DB4FE9-A63D-4AB4-B98F-8D7D9FC5C0B5}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{A7CCF5E8-DF77-44C1-B899-CAB7DE77A2AF}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{7D8BEA16-AA7A-4B1D-8EFC-04565EAA008E}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{12D7979D-0577-4614-A706-AA285A051CF6}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{0A530D9D-B4CB-4146-A1DF-DBA326204F16}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{2D84416F-FFB3-4397-AFF9-9D53797FA128}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{BBDD33F6-06B7-4B28-9409-D2675F45B771}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{30C02004-101D-4230-9025-F5C1788EEB68}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{872E180D-75FF-4A84-AAE0-F2757E652363}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{226CD06A-BFC9-4B9A-B5C1-6DF8DD28F68E}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{64243E63-3699-49E9-B2CE-A8FDF7CDE6EB}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{07D126E5-C7A0-4325-868E-01EAC2153703}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{1D8AE87D-372F-4C06-A1EB-2B98305DB948}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{E810A5B8-CE18-4979-9530-CFB2C703EB56}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{C7629C5B-01F2-435F-9D63-4D49AFE34463}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{A1AA43BA-C2EB-455E-8B79-0D13A0D1388C}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{CEFBC45D-6DC6-4104-86B5-F18C1027C691}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{616EF38A-2134-4924-9246-B42956B08787}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{5ABFF85C-A4B2-4787-A1EF-E3B061E1CFF0}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{B63C3DF4-932E-4B28-A64F-A8433890DFEB}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{9BBF7045-83FB-4391-97CA-020C7339559F}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{32124FE3-0693-441B-B491-46EFAC7284F4}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{3470FD85-2BB8-4912-BC8F-912F3037E82A}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{8E3E2632-D3AD-4A06-BC90-DB725F65FBEE}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{50880FB9-6EA0-49D5-A2A1-C50022DEDD02}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{31F29CFF-C2CF-4037-BD6E-09CB98BA7251}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{36E3E6FF-69E2-44F6-81CD-36A199F56E05}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{30A019FF-5BD8-4298-8FFB-30093841373B}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{8570140C-431E-4B8E-8642-30642BFBDC28}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{C2C2C7F3-B604-4A18-A945-8DDED8A62BBC}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{7D060038-75E5-4C4F-950D-63EF004D5C03}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{48A191DA-C295-4688-B68E-17D18BA86741}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{396B257A-100E-431B-8C82-9A63E200A913}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{FAE17353-F2D6-4E23-BE19-7659795C7A8B}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{D01CF8E6-14F7-4F55-BAA7-E01A2C9D6481}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{79E6818A-691E-489D-A2F4-D3CCA8CD7C76}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{F497F62F-A7B1-41F1-B18A-169FD43B9AAA}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{5DEEB9FB-1C76-43FA-8FE1-555B0B2BC605}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{F820A8DC-108E-4D85-958D-4ED7E906C6D9}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{39C33C16-DD97-45DA-BBE7-D054C8D2A2F3}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{D5C5AD3B-BA11-4D4E-BAB7-1386767E8FBC}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{2E26B2B6-40B4-4A15-9169-44F4510CA9CB}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{9BDD2992-09E0-49F7-B2EB-EAD196709794}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{7FA4BBED-6035-432D-BAD8-559BDE47FAF0}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{25F89F7E-FB5C-4D81-94F6-6AACDB665E6E}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{25506791-BD14-4B58-BE3E-B72BA4BA2FC0}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{04871ACD-70AB-41AC-A37C-20310B54BCEE}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{A8EEA3E3-7DFD-4B63-9574-95DFE013DFC1}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{3B3C8296-50CD-4C76-9256-AF2E0A2DB501}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{042A712D-427B-4E22-9497-0C3EB3EBDDFC}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{3417A63A-A8EE-4BDC-99BC-4EFAD4E7FE30}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{C689304F-9F61-4575-A9B4-A9049E270700}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{79D673DE-D12C-439E-A882-3E4D59DCBA1E}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{F9510BE2-44A9-40AF-89D7-3131DB0C37E6}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{5A9CB891-44F5-406D-9778-B24B44BC26B2}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{3A26FF96-1303-41D2-84BC-0C1BBD26F6B0}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{7A651489-1F18-4ED3-9F27-4F39D62ED97C}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{8580C651-18F4-4B3E-B482-365C75E167B0}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{38B1E7E7-5D3E-43F5-8C4B-669D8CD81937}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{D94E2A1B-AF82-47A6-96E4-C4FF79853E97}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{D8AAEE3A-7216-4D80-BDA1-A8EE7DF92016}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{1120B7DB-2922-4C2B-881A-9EDCC9F0537C}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{67BB2C8A-2468-4591-A9AB-DCD15EB17884}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{26814815-1E40-4278-B67C-524B548ECF77}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{E74E4FE2-D05C-42CC-AC5A-E0CA842BFC40}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{20D915FD-EBA0-4FE0-BA0A-F0CE1CCD94B2}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{7BB2B6B7-D269-4F59-A795-923B06FFFA5A}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{59E1E700-3FB5-4999-AACA-C8CC98243A9E}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{7AF6B234-9844-4B14-A1D8-F60F2FF66482}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{15917BC7-3F50-41BC-AE0B-85488A7E3A10}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{D784DC1F-F786-4022-9176-7126A015941B}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{DB9DFFD6-745B-4FA7-B286-01430D7FCF60}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{96B19011-6711-4BD5-8DFC-371D9F5DE32C}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{A7B1A797-D4BE-44F8-A984-0CF36A41450B}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{7DA45DBF-4C2F-4DF1-88DF-EAD5743A9667}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{1009231A-8750-44E1-B4EE-B52BE4074D19}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{155615E4-E2C0-4A11-8B83-7E26EFB18D2D}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{82B71884-DAF9-47EC-8E9B-CDE607BFDED3}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{44E8C07D-5388-4604-AF87-82E5628E1AF2}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{C2AEB2E6-0463-4E3C-8C95-DDDCEF353CF6}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{4974A10E-0A82-4161-9176-897A44744F10}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{C5E3E52D-18CF-44F1-BADB-F07B2E2590CD}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{0947BBB3-1C99-44E9-9AFE-0C11B3A3D7D4}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{D84EEAFC-63F7-4106-81CB-BF39258DDC8F}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{EBBDC976-3EA3-4425-A032-286A92A23177}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{9342B326-9CEC-4670-B801-D4367CFC37F2}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{E2999EAF-3EAA-45E2-B1E8-642141770396}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{07350413-D316-4860-B5EC-913D1CE59353}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{D6A35456-0F1E-4DBE-91D0-BDC1D3C86ECC}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{FED924BB-E5A9-4F48-BA58-560D45CCB91C}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{5F9B41BA-DB80-4341-B2AA-34E859E447CB}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{A329F9D7-7AE4-412E-8462-CC6E5551B272}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{9FA621D0-E174-4964-9FA5-DAA814BD20CF}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{A08A2A1E-E0E4-4751-9088-876FFB6F4FAD}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{FC3106E2-EFEE-4AF0-B1E4-5CD5F4FD8E94}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{E9476600-08A9-4C1A-BB04-2AC81DA84434}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{ADA5A045-EFAC-4F70-89DA-A9E5C6EBA283}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{F5324B84-3DFD-4E24-B160-178FE096047D}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{90B1A0E9-19B4-4EB7-9A5A-909754BCF6A2}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{9474707B-BB12-45FA-AFCB-8F3D1946CC30}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{FE5C7C75-E98A-4F24-B56B-9110BAA6797A}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{92ED94D8-70F5-4818-8AF3-457E86035B38}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{E587FF4D-9B29-4DC4-BAA0-12A82DDAC6E6}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{F2296BA5-CBDE-4C73-B4B3-8CB22A3D4853}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{18915ADD-C939-4E9E-B88A-0C3E6050E618}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{5C4769E0-AB09-49EF-9FD9-EDE2AB3294D2}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{78706911-79EA-4600-84AF-15FD54E60428}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{155D863E-57E2-4231-95DB-856A00B8A21F}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{798E9436-2B5D-4D31-9BB1-A4C44ECF82B9}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{A91F9970-71AB-4370-8E25-E129954040C9}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{F85D6DE5-C38E-419D-9A63-E0EF83A28439}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{A6C2A4D1-733D-4455-967F-C0361EC6EFE6}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{80CC44A5-B51F-4574-804F-67ADE92EDEF7}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{2975EE7E-BE19-4F32-B8EE-48B33ED08AD8}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{64EFC74A-49E0-4D82-84E2-39DE42510F7E}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{7DA8EA49-72F7-4172-9633-30BC625E3F12}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{12BB66D3-A939-47C0-9D69-9144B56FD2F8}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{B33D8414-79C7-469B-935D-9E0E1EC123C6}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{99E6CCC3-64CE-479E-9891-52E29B5193AB}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{A688F36F-4D07-455C-A78A-69D509469816}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{5D3450F2-EA0F-4F8A-A7FE-0BD2FC90936F}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{4B90B4DA-1F9F-4918-88A6-3DAF6B650245}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{0A15FEEA-AC36-421D-81B5-7851D10F8CEC}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{5155A218-F8DC-49B2-BB4F-1D039B6928CE}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{BF2F826F-C3EA-473E-A16F-B7CD01677CCA}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{03110906-209F-4528-90F9-7B2537678692}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{56CEF8FF-D19A-4383-A1A6-9685B6758F28}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{C232EC71-9886-485D-8714-4BA3A990754C}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{F259BA88-8779-4518-96BE-714DB9967D86}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{90BC7E09-A0F2-4B8B-8DAA-62A64B49CFD5}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{403B6C16-2973-4D05-A9C6-8A6270B28B91}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{0E4C15AA-A752-4FC9-AADF-5208627DA1C0}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{A931A7BF-9A66-46F6-9C0A-B34A065B0B27}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{28A193FE-E64F-4951-9430-663B0E2CB9A2}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{B2E1E04F-FE48-4811-A837-D860325402BE}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{9279CD44-D6F7-4F8E-8BE4-80F96BF5E0CB}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{1B8D9887-3F4D-4120-83D3-469D0904F46D}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{2B1759F2-4B73-4709-B2A7-E5B8A52A15F3}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{31ACE12A-1AB5-4ADD-93CD-93F9D6AED6D2}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{C8B3DDD0-A315-442E-854C-3EB174988A3B}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{58BC6E67-F204-49A1-A883-FE467251888C}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{114F70FC-090A-4200-9B54-718201DF30E0}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{52D1E548-57FB-4E20-85DE-0715FD0EC712}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{B5A69442-AC76-4349-9869-8129D3915716}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{A13E988F-BF7D-452E-95F4-20FA037EBDDF}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{40F7C724-D8E2-48CD-9766-7F023F2B9A28}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Action'!$G$13:$X$13</c:f>
              <c:numCache>
                <c:formatCode>0.0%</c:formatCode>
                <c:ptCount val="18"/>
                <c:pt idx="0">
                  <c:v>0.60330578512396693</c:v>
                </c:pt>
                <c:pt idx="1">
                  <c:v>0.60909090909090913</c:v>
                </c:pt>
                <c:pt idx="2">
                  <c:v>0.60330578512396693</c:v>
                </c:pt>
                <c:pt idx="3">
                  <c:v>0.48</c:v>
                </c:pt>
                <c:pt idx="4">
                  <c:v>0.40350877192982454</c:v>
                </c:pt>
                <c:pt idx="5">
                  <c:v>0.36249999999999999</c:v>
                </c:pt>
                <c:pt idx="6">
                  <c:v>0.65</c:v>
                </c:pt>
                <c:pt idx="7">
                  <c:v>0.48684210526315791</c:v>
                </c:pt>
                <c:pt idx="8">
                  <c:v>0.75</c:v>
                </c:pt>
                <c:pt idx="9">
                  <c:v>0.97169811320754718</c:v>
                </c:pt>
                <c:pt idx="10">
                  <c:v>0.7</c:v>
                </c:pt>
                <c:pt idx="11">
                  <c:v>0.73134328358208955</c:v>
                </c:pt>
                <c:pt idx="12">
                  <c:v>0.73076923076923073</c:v>
                </c:pt>
                <c:pt idx="13">
                  <c:v>0.44086021505376344</c:v>
                </c:pt>
                <c:pt idx="14">
                  <c:v>0.61111111111111116</c:v>
                </c:pt>
                <c:pt idx="15">
                  <c:v>0.20338983050847459</c:v>
                </c:pt>
                <c:pt idx="16">
                  <c:v>0.38461538461538464</c:v>
                </c:pt>
                <c:pt idx="17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Action'!$G$16:$X$16</c:f>
              <c:numCache>
                <c:formatCode>0%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Action'!$G$14:$X$14</c:f>
              <c:numCache>
                <c:formatCode>General</c:formatCode>
                <c:ptCount val="18"/>
                <c:pt idx="0">
                  <c:v>121</c:v>
                </c:pt>
                <c:pt idx="1">
                  <c:v>110</c:v>
                </c:pt>
                <c:pt idx="2">
                  <c:v>121</c:v>
                </c:pt>
                <c:pt idx="3">
                  <c:v>50</c:v>
                </c:pt>
                <c:pt idx="4">
                  <c:v>57</c:v>
                </c:pt>
                <c:pt idx="5">
                  <c:v>80</c:v>
                </c:pt>
                <c:pt idx="6">
                  <c:v>60</c:v>
                </c:pt>
                <c:pt idx="7">
                  <c:v>76</c:v>
                </c:pt>
                <c:pt idx="8">
                  <c:v>80</c:v>
                </c:pt>
                <c:pt idx="9">
                  <c:v>106</c:v>
                </c:pt>
                <c:pt idx="10">
                  <c:v>50</c:v>
                </c:pt>
                <c:pt idx="11">
                  <c:v>67</c:v>
                </c:pt>
                <c:pt idx="12">
                  <c:v>52</c:v>
                </c:pt>
                <c:pt idx="13">
                  <c:v>93</c:v>
                </c:pt>
                <c:pt idx="14">
                  <c:v>90</c:v>
                </c:pt>
                <c:pt idx="15">
                  <c:v>59</c:v>
                </c:pt>
                <c:pt idx="16">
                  <c:v>52</c:v>
                </c:pt>
                <c:pt idx="1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{E2C79EB6-BDC3-49C1-B605-AFEFFE83ABCF}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{55E6B019-6FF4-4654-B709-B4EB1C1DDE49}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{E2F7D118-C239-4952-9662-A842265E12E5}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{B9E4FE08-169D-49A6-9942-82D02920A2B9}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{5FAFB4BE-EBBE-4F8B-BA97-C4C2C69B10CF}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{1E9F2CA8-6A4B-4992-8BB4-287100AB4D98}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{D585DA58-75C0-44DD-AEE7-00A86FEA3CB5}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{CDA3CF0A-F270-465C-9FAA-208168DC905F}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{025FA77C-176A-4908-8178-A6805BC68635}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{23A9252C-8B4F-4B6C-B5BD-4447BB8D99F0}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{D2F79B43-0A7F-479D-B3FB-4BCDAB6F77B4}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{ED9D63D8-8820-4E70-8AB9-FE41C09198A9}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{DC27BAE1-936A-419B-98D8-9C9ABCFEF0DB}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{AFDA1D60-83C0-45A0-989C-21625FE9D2B8}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{E03DB624-AC39-4661-BB98-1187C17AA188}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{E1B32095-C32D-4337-AE25-479347CA201D}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{561ED846-DE00-4247-84AD-DD2C587EA634}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{3A7930E6-5ED2-4BBA-B003-85052D0785F7}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{52D290B3-55F0-4E13-8CD7-36A8B8E355F2}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{D21600F4-C4C8-49D5-B3B4-A12B7B7DFF93}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{CBF387A9-3C04-4C5C-A071-FA66FA3F6044}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{1D3279C5-80C3-46B9-8729-438FD5726C97}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{763B0655-2403-471D-B2B0-AEF3291496F5}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{38B4AD85-EEE8-46B0-B498-7BC43A130ABD}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{0CF11FF0-3971-4C76-925D-2FE08799053F}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{517449A8-59E3-4124-A835-47E313E7B3EF}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{3A3BE73C-296B-481C-8D57-2AB6FB84F553}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{3FF72195-092A-4032-8F47-71BD3E268F9B}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{B3B8324C-A3E7-402D-810A-2D5C7680CA11}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{827B4C4E-73B8-4206-A248-93AD2B1414C1}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{8AFCB63F-91BE-4A6F-9015-1F0173A5D268}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{EE80DF52-D9C0-42E9-BBD5-E13E5227B00D}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{38AACE5F-3767-43F8-B576-1F8E0EF32759}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{23B37F20-6AD3-457B-A413-3C4CD02F9EB2}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{3CAD7832-8CBA-46DB-9C9B-56D7AF0EF84C}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{70993AA8-827D-4047-9818-068554D2C982}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{503C79DB-2A01-4921-B1A3-1BF10FF855C9}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{401A4D8D-37B9-45CA-A4E2-E5EAA5CB693A}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{92ADCD69-B5E0-4346-8764-85A0B6CC5479}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{985E0FAC-0468-49F7-B763-26F0C29EC6B2}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{DB549196-959D-4A06-ADB6-8561365B0A5C}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{5E23E6F7-856C-402E-B809-1A5ECE39D41B}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{F753A879-153C-431D-B7CF-0CCED1E558C6}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{367E3B95-530B-4E9D-A865-DC07C60CAD6B}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{0BBC686B-4BB3-4171-9BB3-E7C97F29EFA2}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{D0C7F9DC-9A1D-421B-BF5C-013AD2F571AF}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{A718362E-4210-4E93-9EE0-A51DDA1D3619}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{7BB2ABEC-7D59-4910-9CFB-ACFFC9D445CB}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{6DA1B2BC-3C0C-4091-AD9A-D0B589ACF4FE}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{CA3640B8-5D81-4A27-8DD5-4D9DBB8367AF}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{35BEE990-D12C-41D1-B618-BB6E23B818FD}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{94C0CC6E-FA31-4F14-8BEB-BF08548A33D7}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{EF61A5EC-F7B6-4381-8DCE-568369939CCA}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{24316AA0-D102-48F4-8299-2A0A6D05066F}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{2C309B22-E652-432F-B7C1-87560C71E77F}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{86CE1EA8-5F50-48B3-961A-21494E91784B}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{12463BF3-6FB8-45D1-A632-5937058DDE0F}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{747E7E3D-7E1D-452D-A0DC-395512B14E17}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{CBBAFDBC-5516-451C-8606-83C94BBF5478}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{874DF44E-0A3A-4F8A-9703-CDA8C7CE824A}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{C7921B78-4B6F-422B-B7C9-979BD3C5BF32}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{08E7F94D-0E2C-4007-84F6-E4A32BF04E45}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{A60395A4-71DB-418B-ADE9-888282721C88}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{5D54BD37-67FF-4B99-AD33-13E7563A493A}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{5E107C83-186B-44A1-AD44-707500AB0DE8}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{CB21E174-E2D2-449A-BDD3-98EB2333DE86}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{397C49FA-DC2B-41FE-9420-E7CF97806AFD}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{D2644F50-7977-42BF-88A2-0112AF9E94FE}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{D11849B9-58A4-4826-8B86-27C03F308D65}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{901F1189-8E12-4CF5-84B8-1C0A805C51BD}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{BAD9FDBD-16A1-4CA6-AA8B-108324591A7D}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{E5B27C17-F91A-4EF0-9E93-D676E02CDE22}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{664F1DF2-97A5-4733-9EF9-19565F5CF20B}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{673622D6-3088-4096-810D-35ED926F6574}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{AA7B98D0-A648-4C1F-9FA2-17E12940D598}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{7F843C75-8FA6-468F-AFDA-57C294ED5CDE}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{814C7CC1-FDB1-4FDB-B222-A7A9272A8F49}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{C6866625-F835-4056-941E-82DD84ADA15D}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{B5256C46-5CC9-4F27-BF92-7CDD2BD3864B}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{1E08DCFE-367B-4959-96A6-5FD60BA71FF8}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{49C5DD19-BE10-409E-A8DC-F050085DA10D}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{11B7C2F7-DC15-4EF3-A856-A8D18B0AD1B0}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{C8F62656-64FA-48CD-91A9-59F7F6F60B41}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{4E92447C-A3AA-453A-AEB1-712A6F2905ED}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{23588C25-23BC-48DD-98B1-0A3639CD0685}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{806777A2-D7D4-4094-B949-F5CEF2C5D787}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{7BD19DC2-BBB3-4FE6-BCEF-8A275913DA2E}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{2D8ED3B0-A286-4B2C-94F7-02322F2A16E2}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{8BAE822E-5E3F-4AF8-9C97-A131C12014E0}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{2260D04F-A1A3-4CFA-B758-5641D269A182}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{ADE915F4-6B95-4312-9230-D46D2F18AE28}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{E6212641-BB50-4864-9970-DA6D0DA60C5D}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{D702E784-D9E9-4351-908A-B613CD3E016B}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{109378F2-72E8-4981-8FFE-48FB2DBB426A}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{7B33C69E-1083-4DA2-BF67-A760C97FEE4F}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{9F1BB7C6-8F63-4597-A503-113037A8893B}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{061EE83F-FDD4-4346-8E42-4F43E1FB9F6F}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{8D845F27-DEA3-4E79-9CE9-8A75C5D51C2E}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{69725CA2-1BF2-4C58-A5F5-88B3CA17FBB4}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{EBE9648C-AF90-403C-8A05-EAF0EB9F2B5A}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{4500E176-D170-410E-9B8C-A0A1D19F5C01}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{ECA278CB-EE0A-4EA7-A4CA-26AE5808A059}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{40E526FC-93D4-41D5-A91C-025D50FE7435}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{E6ED74E5-5518-4AA6-B751-2FB624FEE1ED}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{1763B604-CCFB-4981-9718-63343BACAF49}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{A6BCD64F-0A23-40DC-A450-A5B81E799ED6}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{47BFA37A-6E97-4196-992A-983A24C2D213}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{E9A8F128-8B81-4BCB-85A9-3D84E50738F7}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{ACD2BB09-072E-4047-BA58-94869A8C1869}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{BC965D05-7728-49E1-B6ED-B4F6B543C702}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{05E9801E-7649-4EBF-AE0D-A636EE6DBF6F}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{C6EEAEDB-772B-4917-8476-2AC9C9AF2B16}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{2FFB3410-79C7-4811-881A-DB5FDD1449CC}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{CC97F1DA-BF1A-4C4A-ADAF-F1AA2B02FB8A}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{0CF90C92-4C81-48AF-B47A-DF1AADDEE1E5}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{E415D6F4-7E27-4D5B-859B-A60774FD3390}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{8B76440D-EC95-465D-9637-E8676C497669}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{212E90C9-1C26-48E0-819A-B991028CC1FC}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{146D36CC-B8D8-4C4C-89FC-7890024DCB96}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{D8C044AE-0653-4C13-8696-65EF2EEA380F}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{60100E60-D906-48AB-97C8-D4A3EFB05554}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{184E770F-9BBF-482B-84AE-123CF791CCCC}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{F7E41B3F-F86D-4626-BA7D-340D16FC0C14}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{157A942A-FFF8-4A01-AF49-47A63652C577}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{4FB3F867-5BAE-4BF5-BE84-E1BF8FF7C680}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{DAEAF6A7-0C93-4418-9849-D79FDB5B4B6F}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{076FF582-2E5C-4493-8EB9-363792E93F05}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{B7069F0A-AD1A-442B-A493-40D9B11C1482}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{8DFEC487-D3A8-41A5-A344-52E04D8A033F}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{A7FBDDD1-1D49-46F1-8EF7-EF142DA1755D}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{02279310-8747-405F-B75C-D12ECF17E050}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{839D36CB-94CD-4AF6-B24B-F725265F9215}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{BEEFB054-F022-4E03-A242-F4BD9FEA38CE}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{A4C1318A-793C-406E-B804-45DE52ACABF0}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{7B0147DE-BC31-43E1-831D-2578AB001111}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{8B3FA3D0-C724-4F19-9F26-472EE0AF038C}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{217C8DFE-1A0C-45E4-B8C9-95CFB02593C8}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{B66A4761-D98C-4D0F-AF28-2204F95A79B2}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{5A305B84-AF89-4438-872B-C3BA377AE418}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{D5AB0CD6-860C-415C-AAAC-E881D30E9212}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{D14B871C-87C8-44BB-800F-8F865F540F25}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{7390D9F4-8DCD-40D8-8FD8-09EEDD68180F}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{467197C4-D11A-4536-BD9D-20070E866D58}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{6541AC18-6B72-466F-8E55-A7F0D52311F9}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{B4FB1685-E51B-42DF-A8A4-564003B4FC95}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{0788E55E-8C7A-4D2E-9237-3E187F5D049E}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{0C755E89-4996-4958-9CE8-18668B2CBE0E}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{3C9A385F-F13A-4B67-A145-373892C5A670}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{72111C9B-8ED6-44A1-A0CB-673BC99C97A3}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{9D5CE5E2-8C1A-4567-97FF-E0CB189D836D}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5B7-48DB-8C6B-2B2DA1980D4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5B7-48DB-8C6B-2B2DA1980D4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5B7-48DB-8C6B-2B2DA1980D4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B7-48DB-8C6B-2B2DA1980D4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5B7-48DB-8C6B-2B2DA1980D4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5B7-48DB-8C6B-2B2DA1980D4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5B7-48DB-8C6B-2B2DA1980D4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5B7-48DB-8C6B-2B2DA1980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B7-48DB-8C6B-2B2DA1980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{04688539-57D7-469C-8695-59E02FAC1A9F}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{9487A78A-4F8B-4393-8B16-683E079C30C8}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{09190644-2F36-4FD0-8B3F-B53991743248}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{DEBCCBDC-F9B3-44B6-8B20-92E274234C08}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{50C1D8B5-93E7-4B54-BD1B-9A3D546587EE}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{F58B87E9-B022-459E-AF76-36699A2A3E91}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{4335BE8D-1455-47EC-9AA6-7FBBB723BF42}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{41CD40AB-50F1-47B7-A948-D802C0D0AA99}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{88C967F3-6FE2-4187-8F85-D947E63561D8}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{693FA7C4-89F6-4ABF-9F46-2A6C80642E01}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{FB7605A8-548E-48B2-9E24-42FAF09184BA}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{530D93B4-3036-4104-BAED-7D12D76CA55C}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{80D30F77-284D-49D0-8F2E-28A075818C71}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{1E050358-9277-4A1B-B3A0-FC99B22C6A33}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{35889EE5-786B-4D14-B161-9802A66A98EE}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{E7BCFF2D-E602-4E28-A9E1-5D250911E642}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{784E9F45-9D40-4F70-B01F-E4A28B298DF6}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{4071D75C-EB14-42F4-AB24-5EDE125EACAE}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{3223DD85-CC21-4335-BD3E-2F17C74CCBA3}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{E75B0475-335B-4A67-847A-3976F4EBFE57}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{22FDD9AD-A12A-45BB-8531-EFF772E225EB}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{FDD43B0B-3615-4C12-98F5-9B7B9B901F83}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{5CAB4F4E-9AB8-425D-AE9B-7462A7AC36A8}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{310E2796-2FBA-4F72-890C-1257D2599D6F}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{08A606D9-A6A0-414A-BBD2-AD5F68EBB829}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{6D59443F-063F-4399-B76B-6296E1EE265C}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{F5ECF650-C2F3-475F-8F6D-250B91254644}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{EC6DC67A-A1EC-4B23-8104-739BADBC51E7}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{290A604F-DC60-4C64-A1DF-EC5C0E0DEC31}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{0DB900C5-C9FC-40CC-819F-27555B2CCEA5}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{9C206F8D-CBA0-4959-BF79-E93A2118DCF7}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{545D229A-95FD-44C1-B056-62DF1838B961}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{F2F6985B-43C7-4CC3-B5F7-51DEF2E8369E}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{41AC2A21-4E52-4D12-BEF4-41E98834B44A}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{986C7E22-9863-4DA5-AEBC-D02CBAF78491}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{CE144C11-E33C-4C55-A5EE-05734591C242}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{E25EEB9C-76F6-4E93-8A49-D7530BF09EC4}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{95D177E4-FC8F-40B3-B87E-77AC18556B1F}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{528C8970-7D40-4E89-8896-8823F85FC8A5}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{949BE4EB-0CFC-4AA4-8F55-6422D1C8B0FC}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{CCE5B8BA-2880-44AA-B06B-6CB150D02F92}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{942FBBCA-8D26-4CB0-9553-04D393E11725}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{7E718D68-10AD-4258-B034-6CE289B561AD}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{D3E8C619-865B-4B25-9848-842D8041F917}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{1C649F61-EC7C-4B9D-9AF3-016045BE1328}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{8D43943D-B452-4668-9DF5-DAD88BBD1F4E}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{CAB185D9-B124-4D96-AC55-CE312E8B8220}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{0FD1A8E1-7192-436B-B604-B9CD0EF98ABC}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{946B7B7F-3690-40EF-8156-D74BC9452A90}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{27868317-A50B-497A-8478-13509AB2B2D7}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{20352AA2-536C-4B31-90F5-C8A7CDA3AD80}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{224FB408-3208-4173-9412-F36D8499B468}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{4947C89E-ACBD-41CA-B788-6D758D025FDF}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{2341AAED-42AC-49C7-9D6D-DC7B8D50E1A8}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{4FE98218-3123-4FEB-8BFD-ECE41D2FC06E}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{B6302E95-2EC6-45BF-B026-2C9F1842A339}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{AF0A2FFE-2C05-4B36-B4E5-07331D192BB8}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{89FF99BA-AC29-4728-88B9-FC4364F5AC59}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{54588A6A-8920-4593-A47A-85C426A7DED7}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{4C9A6E2C-49B4-4EFE-B9F7-AA6CF3A4707D}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{D23671FD-C0CA-4F92-AEB1-CDAD8CE1CDDE}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{82FC867E-0ECC-46CF-8D94-69FFDAAE0EA4}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{602DB64E-E4CC-4555-8D58-7955772BC028}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{E2B0C048-5CE7-48BB-8DD5-423545CD76E0}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{4E7C7274-B37C-4F9A-9EAA-9A1D3BDF3DDF}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{97A7D986-8193-4BA7-80BA-2D38C43969D7}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{662187B0-9E2E-4666-A7FE-90DA5B70D0F0}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{2FD13C04-43D6-4A6D-A4EB-B9827726606A}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{716D32E6-02F7-41EB-AF17-5E08A412A785}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{F039C276-B9A8-4BF4-9282-24DB6C4414B9}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{5CA480CA-8891-4329-BF50-BE204EB02C84}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{4F05D3DA-07DD-416D-9C05-3D2A713F1FFF}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{4C6EBED5-A4A6-4685-8B35-04F0B8DD565A}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{3F0A1AF8-EDCF-4909-9826-1577378B300B}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{A4E5CCFD-12F8-47F9-874C-B90DE0F4F264}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{EA37AB2D-1169-4624-B40C-9BBACADA56A5}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{965C554D-5469-430C-8A48-E4275E375706}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{771119EF-F52E-4E28-8CF3-12174306FDD9}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{F05B87DD-1301-4913-8233-E51C2D2275F5}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{FA30FFBE-919F-426B-B643-05F6ECE824BF}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{0C2ADD37-F02B-40A0-8107-6A99C42E891A}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{9E580891-3DCD-4FCF-9202-0BC007BD4E23}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{644D679F-9800-4E79-B321-FD3C55C5D2B0}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{C379ADB2-FA2D-42DC-99B0-AE2B6C104B2F}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{FB2980BC-2B25-40AA-95B4-16797479F807}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{50D4112B-EE08-4764-94C5-29E9BAFC8677}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{FCB9D0BC-9393-45CD-A196-9F38004BC380}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{EEACC650-BE7F-4672-9457-41C83FE71D8C}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{F7780E91-CF18-42A3-9442-ADE951DC607C}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{15407858-AB6C-4885-9B61-5D90AC8C6D73}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{4BB7702C-03B7-4933-AFD0-185D00CEC369}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{5BD87E98-3585-4125-A276-641F0B8254C4}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{550DC34B-A9C1-4CC2-B104-060C239A4087}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{4979A192-4685-45AE-B691-E940BFBF20CA}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{6318844A-6288-4A31-8709-D819C1B431AB}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{75694A0B-31FF-4FFA-B453-CA55E127EFD2}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{BB44AA04-755A-4BCC-B8F0-D38DDBC4E1D9}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{044D13CF-583D-4A91-99D5-E044727BB3C4}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{57A4AF4A-7FC7-4522-8724-A8BFECFDB8CA}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{C69EC62D-9616-46A2-9A32-B3E58DFB3600}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{85B0F331-4FAA-4DFA-92F6-9A67BD9D1389}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{9B033DB8-15F8-48C0-8A21-630C9B01C3D4}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{450DB49E-152B-4EB0-83A2-DB3AB599C95D}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{2D8BF15E-CC0A-492B-98AA-945858EA1373}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{61448F4C-4A17-4B75-A9B1-E943C00A3C3E}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{04F28CA8-2BD6-419F-BA56-6AA9AD18D650}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{4AD37159-D73B-4F80-AF1A-09A305CA0CFA}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{A8E3D2F3-EA35-4D15-BF51-472155A70A44}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{51B1A5AD-76FF-4B50-9AD3-8E4F5989D13C}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{5164FB7B-5CC1-4049-862C-9969297D0BE4}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{884F8464-F1AD-4BB0-AE9A-8FB8BFDA3BF2}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{FE25522E-ADEA-46CC-8D4E-9795DF6B6652}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{12D41C6D-B9FC-4491-9164-7A42FB2CC396}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{1AF5083A-F89C-4CA3-A2F6-DD50BBECB37B}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{AB27D5A8-CDF0-43CE-B4CC-9EFB5ACEE5C9}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{FBA0ED8A-5F13-46B4-A5AC-54F4421556D6}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{F300AE03-B1E3-413B-B2D6-0C5743E78376}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{65CE615B-9802-4C70-AB82-775FB1CBD245}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{40D679E4-480C-47D0-885F-3F5AEE93B424}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{CE87EB0C-565D-4B0F-8465-7AE984D49613}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{0FEAD7D7-7D6E-4AC5-9630-253F0CF94D67}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{BB4089B6-D83D-41FE-A31A-B5503BB50CB4}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{7C2DB02A-9085-408A-930E-F23937E8EBF6}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{2B7A7EDE-DAE4-497F-8E3A-36F30140FC31}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{FFF4C14C-0F0F-43CD-BD18-1626C8013AED}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{E7DAE2B0-8F41-4509-9C8D-42B22653FBE0}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{F8B220A6-ACFA-4C96-B541-C5BB49C15AD5}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{E2F62693-726D-4137-9CE1-26F9CA6E9A2C}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{8DBFE067-BB27-468A-9750-6ACFEA0D1AF7}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{CCFB6FF7-CADA-48C2-A313-BF2BEEB460AD}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{9E86EFC6-7088-44E8-949F-E00AD825CA7E}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{A1CAD196-39AF-4ABC-BB03-35966A2D6503}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{FA151C5E-E8A0-4382-81AB-3999A4819286}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{8A5E8449-26C1-454D-A774-A6BE39EDCE6F}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{33E6067E-3FF1-430D-9596-1E9364AE9127}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{54865346-F678-4859-AEEB-1637AD252E92}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{FC311705-55DE-4664-A718-07C40EDBF6A8}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{F7992903-99A3-40DB-989A-F87F0A72E3B4}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{76FC47BF-C9D8-45F9-88D8-08973CC3C6E0}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{425A76D8-E9B2-42BF-A599-DBE390E83539}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{3B4CAF04-E86E-4D30-B358-7DF28BCA8DE6}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{A04A3B2C-4646-49FF-ABAB-F6C098F90132}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{ACF8944C-D713-43EF-8BDB-B45F6831D464}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{920F949E-B9E7-41EF-8015-12E64BFA6CB7}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{3FD49D49-9621-497B-8C43-0F2D31497E68}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{B73861F6-ECCC-4FC4-889B-EB300BCD70E5}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{DD38C1BA-FC76-465C-B084-2968961D9FFA}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{D9EB8BE9-9B27-44A8-A00D-ADFCBD642F76}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{1626281F-9F8F-4FF6-8DD8-F78B956B891F}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{1FB8FCB4-9750-4E49-B877-CD063E4BEAB3}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{F00C686D-C784-46A9-9314-F7C826BE72E0}</c15:txfldGUID>
                      <c15:f>Credit_2022Q2!$J$8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D7D-4333-B2C8-D290E0EF83D6}"/>
                </c:ext>
              </c:extLst>
            </c:dLbl>
            <c:dLbl>
              <c:idx val="1"/>
              <c:layout/>
              <c:tx>
                <c:strRef>
                  <c:f>Credit_2022Q2!$M$8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{5865BFB1-CBB0-4F16-87D2-C57D41540E0E}</c15:txfldGUID>
                      <c15:f>Credit_2022Q2!$M$8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D7D-4333-B2C8-D290E0EF83D6}"/>
                </c:ext>
              </c:extLst>
            </c:dLbl>
            <c:dLbl>
              <c:idx val="2"/>
              <c:layout/>
              <c:tx>
                <c:strRef>
                  <c:f>Credit_2022Q2!$P$8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{9101B350-70C0-46E7-90E6-0966005EAFD5}</c15:txfldGUID>
                      <c15:f>Credit_2022Q2!$P$8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D7D-4333-B2C8-D290E0EF83D6}"/>
                </c:ext>
              </c:extLst>
            </c:dLbl>
            <c:dLbl>
              <c:idx val="3"/>
              <c:layout/>
              <c:tx>
                <c:strRef>
                  <c:f>Credit_2022Q2!$S$8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{811D1A2A-E2B9-4F9C-B1B7-6424E58E4CF9}</c15:txfldGUID>
                      <c15:f>Credit_2022Q2!$S$8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D7D-4333-B2C8-D290E0EF83D6}"/>
                </c:ext>
              </c:extLst>
            </c:dLbl>
            <c:dLbl>
              <c:idx val="4"/>
              <c:tx>
                <c:strRef>
                  <c:f>Credit_2022Q2!$V$8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{3B6E82DC-C434-499D-89F9-8A1509512C70}</c15:txfldGUID>
                      <c15:f>Credit_2022Q2!$V$8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(Credit_2022Q2!$Z$8,Credit_2022Q2!$L$8,Credit_2022Q2!$O$8,Credit_2022Q2!$R$8,Credit_2022Q2!$U$8)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7D-4333-B2C8-D290E0EF83D6}"/>
            </c:ext>
          </c:extLst>
        </c:ser>
        <c:ser>
          <c:idx val="1"/>
          <c:order val="1"/>
          <c:tx>
            <c:strRef>
              <c:f>Credit_2022Q2!$J$9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{26794E61-B4F2-4D3A-8579-662E58FC1B19}</c15:txfldGUID>
                      <c15:f>Credit_2022Q2!$J$9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D7D-4333-B2C8-D290E0EF83D6}"/>
                </c:ext>
              </c:extLst>
            </c:dLbl>
            <c:dLbl>
              <c:idx val="1"/>
              <c:layout/>
              <c:tx>
                <c:strRef>
                  <c:f>Credit_2022Q2!$M$9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{D2AAACD8-F8B9-45D0-BBA7-6833E606E857}</c15:txfldGUID>
                      <c15:f>Credit_2022Q2!$M$9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D7D-4333-B2C8-D290E0EF83D6}"/>
                </c:ext>
              </c:extLst>
            </c:dLbl>
            <c:dLbl>
              <c:idx val="2"/>
              <c:layout/>
              <c:tx>
                <c:strRef>
                  <c:f>Credit_2022Q2!$P$9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{987A3270-58F0-4242-9E13-D1020B9E41E3}</c15:txfldGUID>
                      <c15:f>Credit_2022Q2!$P$9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D7D-4333-B2C8-D290E0EF83D6}"/>
                </c:ext>
              </c:extLst>
            </c:dLbl>
            <c:dLbl>
              <c:idx val="3"/>
              <c:layout/>
              <c:tx>
                <c:strRef>
                  <c:f>Credit_2022Q2!$S$9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{46E3F9BA-7C96-4197-8E65-BED66D6C7ED5}</c15:txfldGUID>
                      <c15:f>Credit_2022Q2!$S$9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D7D-4333-B2C8-D290E0EF83D6}"/>
                </c:ext>
              </c:extLst>
            </c:dLbl>
            <c:dLbl>
              <c:idx val="4"/>
              <c:tx>
                <c:strRef>
                  <c:f>Credit_2022Q2!$V$9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{A90AC666-02AE-4E60-99D7-E8DB96384DED}</c15:txfldGUID>
                      <c15:f>Credit_2022Q2!$V$9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(Credit_2022Q2!$Z$9,Credit_2022Q2!$L$9,Credit_2022Q2!$O$9,Credit_2022Q2!$R$9,Credit_2022Q2!$U$9)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7D-4333-B2C8-D290E0EF83D6}"/>
            </c:ext>
          </c:extLst>
        </c:ser>
        <c:ser>
          <c:idx val="2"/>
          <c:order val="2"/>
          <c:tx>
            <c:strRef>
              <c:f>Credit_2022Q2!$J$10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{CC5D611B-D48C-41B9-8E76-1FEACED820FC}</c15:txfldGUID>
                      <c15:f>Credit_2022Q2!$J$10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D7D-4333-B2C8-D290E0EF83D6}"/>
                </c:ext>
              </c:extLst>
            </c:dLbl>
            <c:dLbl>
              <c:idx val="1"/>
              <c:layout/>
              <c:tx>
                <c:strRef>
                  <c:f>Credit_2022Q2!$M$10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{F732FBD1-5AD9-455F-A796-C9288BEE4563}</c15:txfldGUID>
                      <c15:f>Credit_2022Q2!$M$10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D7D-4333-B2C8-D290E0EF83D6}"/>
                </c:ext>
              </c:extLst>
            </c:dLbl>
            <c:dLbl>
              <c:idx val="2"/>
              <c:layout/>
              <c:tx>
                <c:strRef>
                  <c:f>Credit_2022Q2!$P$10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{CFBD5534-2F8D-45FD-8CAF-FFC03BDC255C}</c15:txfldGUID>
                      <c15:f>Credit_2022Q2!$P$10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D7D-4333-B2C8-D290E0EF83D6}"/>
                </c:ext>
              </c:extLst>
            </c:dLbl>
            <c:dLbl>
              <c:idx val="3"/>
              <c:layout/>
              <c:tx>
                <c:strRef>
                  <c:f>Credit_2022Q2!$S$10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{E25511ED-7DAB-4337-B401-1C5E8B1A291B}</c15:txfldGUID>
                      <c15:f>Credit_2022Q2!$S$10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D7D-4333-B2C8-D290E0EF83D6}"/>
                </c:ext>
              </c:extLst>
            </c:dLbl>
            <c:dLbl>
              <c:idx val="4"/>
              <c:tx>
                <c:strRef>
                  <c:f>Credit_2022Q2!$V$10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{3E3AB39C-660E-4D8A-83E7-6CB0E18F8C02}</c15:txfldGUID>
                      <c15:f>Credit_2022Q2!$V$10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(Credit_2022Q2!$Z$10,Credit_2022Q2!$L$10,Credit_2022Q2!$O$10,Credit_2022Q2!$R$10,Credit_2022Q2!$U$10)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D7D-4333-B2C8-D290E0EF83D6}"/>
            </c:ext>
          </c:extLst>
        </c:ser>
        <c:ser>
          <c:idx val="3"/>
          <c:order val="3"/>
          <c:tx>
            <c:strRef>
              <c:f>Credit_2022Q2!$J$11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{282C0830-2A0F-4058-A08B-15F1ABDE3032}</c15:txfldGUID>
                      <c15:f>Credit_2022Q2!$J$11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D7D-4333-B2C8-D290E0EF83D6}"/>
                </c:ext>
              </c:extLst>
            </c:dLbl>
            <c:dLbl>
              <c:idx val="1"/>
              <c:layout/>
              <c:tx>
                <c:strRef>
                  <c:f>Credit_2022Q2!$M$11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{03D52B46-2C33-40EF-9E79-5E952966D87E}</c15:txfldGUID>
                      <c15:f>Credit_2022Q2!$M$11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D7D-4333-B2C8-D290E0EF83D6}"/>
                </c:ext>
              </c:extLst>
            </c:dLbl>
            <c:dLbl>
              <c:idx val="2"/>
              <c:layout/>
              <c:tx>
                <c:strRef>
                  <c:f>Credit_2022Q2!$P$11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{245D7CE5-3DF7-4145-914C-5FC367878D80}</c15:txfldGUID>
                      <c15:f>Credit_2022Q2!$P$11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D7D-4333-B2C8-D290E0EF83D6}"/>
                </c:ext>
              </c:extLst>
            </c:dLbl>
            <c:dLbl>
              <c:idx val="3"/>
              <c:layout/>
              <c:tx>
                <c:strRef>
                  <c:f>Credit_2022Q2!$S$11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{39FEC0B9-7A32-4176-8A8B-610B09331C74}</c15:txfldGUID>
                      <c15:f>Credit_2022Q2!$S$11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D7D-4333-B2C8-D290E0EF83D6}"/>
                </c:ext>
              </c:extLst>
            </c:dLbl>
            <c:dLbl>
              <c:idx val="4"/>
              <c:tx>
                <c:strRef>
                  <c:f>Credit_2022Q2!$V$11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{61CE1903-D74A-469A-BF75-B80F2FECFCAF}</c15:txfldGUID>
                      <c15:f>Credit_2022Q2!$V$11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(Credit_2022Q2!$Z$11,Credit_2022Q2!$L$11,Credit_2022Q2!$O$11,Credit_2022Q2!$R$11,Credit_2022Q2!$U$11)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D7D-4333-B2C8-D290E0EF83D6}"/>
            </c:ext>
          </c:extLst>
        </c:ser>
        <c:ser>
          <c:idx val="4"/>
          <c:order val="4"/>
          <c:tx>
            <c:strRef>
              <c:f>Credit_2022Q2!$J$12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{955A3DD7-7196-4229-AFB7-4807CA7C6A61}</c15:txfldGUID>
                      <c15:f>Credit_2022Q2!$J$12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D7D-4333-B2C8-D290E0EF83D6}"/>
                </c:ext>
              </c:extLst>
            </c:dLbl>
            <c:dLbl>
              <c:idx val="1"/>
              <c:layout/>
              <c:tx>
                <c:strRef>
                  <c:f>Credit_2022Q2!$M$12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{5A71E765-160E-4244-8E1A-E14E05186BCF}</c15:txfldGUID>
                      <c15:f>Credit_2022Q2!$M$12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D7D-4333-B2C8-D290E0EF83D6}"/>
                </c:ext>
              </c:extLst>
            </c:dLbl>
            <c:dLbl>
              <c:idx val="2"/>
              <c:layout/>
              <c:tx>
                <c:strRef>
                  <c:f>Credit_2022Q2!$P$12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{2F4E6006-7E88-479C-8965-B5DFCE70BF9E}</c15:txfldGUID>
                      <c15:f>Credit_2022Q2!$P$12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D7D-4333-B2C8-D290E0EF83D6}"/>
                </c:ext>
              </c:extLst>
            </c:dLbl>
            <c:dLbl>
              <c:idx val="3"/>
              <c:layout/>
              <c:tx>
                <c:strRef>
                  <c:f>Credit_2022Q2!$S$12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{8547D4E7-566F-4AB9-8599-333F8B56F062}</c15:txfldGUID>
                      <c15:f>Credit_2022Q2!$S$12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D7D-4333-B2C8-D290E0EF83D6}"/>
                </c:ext>
              </c:extLst>
            </c:dLbl>
            <c:dLbl>
              <c:idx val="4"/>
              <c:tx>
                <c:strRef>
                  <c:f>Credit_2022Q2!$V$12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{206353D2-883E-4553-B7C6-B0C11249E18E}</c15:txfldGUID>
                      <c15:f>Credit_2022Q2!$V$12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(Credit_2022Q2!$Z$12,Credit_2022Q2!$L$12,Credit_2022Q2!$O$12,Credit_2022Q2!$R$12,Credit_2022Q2!$U$12)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D7D-4333-B2C8-D290E0EF83D6}"/>
            </c:ext>
          </c:extLst>
        </c:ser>
        <c:ser>
          <c:idx val="5"/>
          <c:order val="5"/>
          <c:tx>
            <c:strRef>
              <c:f>Credit_2022Q2!$J$13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{C8C66C30-F2B3-4DF6-BD8F-E91A71EC8536}</c15:txfldGUID>
                      <c15:f>Credit_2022Q2!$J$13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D7D-4333-B2C8-D290E0EF83D6}"/>
                </c:ext>
              </c:extLst>
            </c:dLbl>
            <c:dLbl>
              <c:idx val="1"/>
              <c:layout/>
              <c:tx>
                <c:strRef>
                  <c:f>Credit_2022Q2!$M$13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{74AEC5D1-6D38-4A63-867F-3144E9ED9855}</c15:txfldGUID>
                      <c15:f>Credit_2022Q2!$M$13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D7D-4333-B2C8-D290E0EF83D6}"/>
                </c:ext>
              </c:extLst>
            </c:dLbl>
            <c:dLbl>
              <c:idx val="2"/>
              <c:layout/>
              <c:tx>
                <c:strRef>
                  <c:f>Credit_2022Q2!$P$13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{A1C64F81-7BFB-42B4-AD0B-9E989161B225}</c15:txfldGUID>
                      <c15:f>Credit_2022Q2!$P$13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D7D-4333-B2C8-D290E0EF83D6}"/>
                </c:ext>
              </c:extLst>
            </c:dLbl>
            <c:dLbl>
              <c:idx val="3"/>
              <c:layout/>
              <c:tx>
                <c:strRef>
                  <c:f>Credit_2022Q2!$S$13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{5E5A8E38-488A-4EF8-B28A-80FA92056B42}</c15:txfldGUID>
                      <c15:f>Credit_2022Q2!$S$13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D7D-4333-B2C8-D290E0EF83D6}"/>
                </c:ext>
              </c:extLst>
            </c:dLbl>
            <c:dLbl>
              <c:idx val="4"/>
              <c:tx>
                <c:strRef>
                  <c:f>Credit_2022Q2!$V$13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{BCE0388C-06E8-40F2-BF8F-FCC964CCCC43}</c15:txfldGUID>
                      <c15:f>Credit_2022Q2!$V$13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(Credit_2022Q2!$Z$13,Credit_2022Q2!$L$13,Credit_2022Q2!$O$13,Credit_2022Q2!$R$13,Credit_2022Q2!$U$13)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D7D-4333-B2C8-D290E0EF8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{BD7BDC0F-0039-4A39-AE45-6A1A67C034FB}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{46497BA5-BDA4-46ED-9ECC-678F1BC04650}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{5385C934-7ED9-4D10-A56E-D214A830AE30}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{A893B469-8096-4FD8-95DD-C762003BABB5}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{826EAADD-420C-493C-949D-72CDD55D2686}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{9F961DAD-7C7F-4110-8054-68240B1BD890}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{4FAAF3D0-C0FB-48E5-BEF4-4A4468F1ED66}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{3B869EB4-31B9-45E9-B727-F22331F80513}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{04C56E3F-ECB3-47F1-BE15-149B072B17C2}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{64E98A4B-7D1F-4CDF-A0BE-2844E27C7AEF}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{493251A4-11BB-493B-A9EF-E3E4AD515E93}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{BD8E7F60-9F08-4A53-9F0B-DFFE75F4FFF2}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{EC558A2B-9405-40C1-8C5F-35D09EFB764F}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{6CD8C0A0-912E-473E-AEC5-AD6FB534CCF1}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{C3E9C1C8-C827-426A-9DD1-92923254336D}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{B1A260EF-E7F6-4E41-9A09-4BB65C5FAAA7}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{536A72EB-7989-4082-8641-A2F10DF9FD68}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{20DC025A-9F39-4CB8-83A7-26895C35F6DC}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{08C9048A-E77B-442B-A25D-03A9FD1A6933}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{D0A392C2-1DFF-4513-85FC-2B07F220BDD8}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{2253F34D-C982-470C-8A4D-A9C8EAD452AF}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{9DE058F0-8979-4D24-AD25-F5C25215635D}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{7F239868-157D-4B9F-BF84-1024CEB3B346}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{218BC6D9-92F1-487C-A2B1-729D302D8ABA}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{79B80DBD-79BC-421C-9FEA-AA2908A18D2D}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{337EF852-49ED-4686-8A26-EDFD932CEB72}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{3FE0E2FC-6149-466B-9222-F4AEB7EC7B93}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{38A2686C-853F-4FC4-9917-94FFB4EC5D2B}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{C6CA946B-D12E-42B0-B628-A793240FF009}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{02ADB83D-2318-43C9-969A-4E8554731EE6}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{420026E0-8D68-4D5C-B2C2-6567A0679632}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{FE65BDFB-DC1B-4AAA-97AE-69EF9E6A332E}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{62247A76-EDD8-412A-985A-92B50D978974}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{506D3AFC-D23E-4B24-BBB1-C8380BF67D68}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{E0BD0667-43FB-4603-872E-BD8D4411BE60}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{4919FA32-0EDD-4357-AB54-409E6BFF4CA7}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{C7C3B8FE-CC59-4790-86E3-CD2A9FF93017}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{37883BBE-B35D-4F09-B8C0-1360165BECCC}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{BAF2009D-AAD9-4702-B5D5-4E9E41D18BC9}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{DC874A42-1236-403D-AEDB-46244CB40DF6}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{7E06C398-0991-4038-B5FE-6CCD8CEECEF0}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{A5B762F8-104F-4F0F-BDFC-6AA910679EB3}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{A24AE44C-41B4-4FF4-9BA1-B8935C4C827C}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{A2B0EADB-DACA-4E39-81BE-2BCE1A1A8767}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{F46CFEF0-BA36-43CA-B8BD-9680B5781114}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{25D77C9B-9BE7-4B75-8323-4C87482FB942}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{143CA336-955B-4E4B-BB02-B2848C43D85A}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{DB65E292-5284-4DEF-A4CD-28F0FD665C79}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{90A9A699-BFBD-48E6-B802-BB3219F1D30D}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{0C320B31-B850-4B5E-B7D7-464150EE5069}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{3DC21B87-A39A-4747-8C6B-6A9AA7D54C8D}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{172DAF7D-5E8C-4316-AF24-82706130E5B7}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{6EBE1474-EFEE-44B5-B49C-5E8853B2E223}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{96CB2472-2535-4F41-B99A-262C1FE9E590}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{895AA38C-8C47-468A-A7C9-DDF6A3E48D9B}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{175135BB-778E-4DD1-9E7F-3746ACF2C466}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{D0D34EFA-0936-488B-85FC-E5AC2E6ECF67}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{CAF769C3-1A8A-4D3C-AAF6-0F3012052381}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{892DB54D-8C1B-46CF-98C2-823B7FEC7998}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{2E2488B9-8FB3-4100-85D8-435B598C6D43}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{C6557D6B-D55B-46C3-A1E9-DDB98AE3338E}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{5EB3F438-7DBD-4BF4-9154-76F1C3C358DC}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{27C576C0-A829-4CBB-B2F2-21FF642191B0}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{661607DF-6545-4217-8B74-AD5A5E062FB5}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{89CA5E3F-3F37-4412-9EB8-79274430B0B0}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{E095AE67-B337-4016-B797-7E9D3DEA5928}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{FC4B6C0D-0B6F-4859-A512-3DB80219704F}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{1ACB7EA1-E782-4D11-983A-51A179BBFE47}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{A16D3186-A410-4765-BC13-BBCC047A9568}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{2B9A4669-B96C-4529-8289-75566660D4E7}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{599E4A55-AD48-48FF-B804-3FCE11E6A928}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{A932F12A-10D2-4BB9-B1B3-3F89F7EA1F73}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{85EAEA92-173F-48FD-9994-6D84CC1422D2}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{767DC178-8777-40CC-890E-362CE9387FF8}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{D0A47E52-288C-4EA3-881C-19821A451AEF}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{8E5F541B-1631-4B28-8F5C-F657231EF2C1}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{F2571F82-B614-4AA4-B0E7-D0AF5D629299}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{2CD1084A-2F39-4755-85C6-83531F4F7E5A}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{6ADADADF-A588-44DD-89A9-C28E4B1A87A9}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{9EE089BC-7DF1-4BBA-94E9-7C281AED98F4}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{55A25B6C-FDB8-4D06-A2AB-245F84454675}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{68F3D93B-D185-4A0E-94B9-D0FAD814914B}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{F515D244-0007-47E2-B5B7-07DC3A4BBB94}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{D89E2991-F087-4A6F-A9C8-1DE3F9C6F3EE}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{7B435BD5-DA01-4040-AA5C-B4AFB959A8C2}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{A4C884D0-95D9-4721-82BA-8FBF4B144733}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{C7DA51AE-34F3-4EA2-B24A-43E8BBF4FD78}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{F55FDB64-16AE-42F3-8429-5DD25B9F5146}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{B7987FBB-3C57-4958-B07E-317566235149}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{526CB8B8-26BB-44F6-B610-6CF9AAB91024}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{16224D70-ED45-43AE-8FFE-CCB86C2FBB39}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{CC16C834-8242-4814-AA88-13A6F670317D}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{BC47EA66-C5A0-4FE5-9BB7-801071176B2E}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{A7BA130F-510E-42E2-B382-F8384C4AE737}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{3272703D-F745-469D-A885-FCAD1E573F64}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{18623470-A73E-4E66-A968-4BCA098D5C53}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{879265B2-47AD-403A-85B9-AC6AD0401E8C}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{FE4752F3-3C6B-4F47-9B3C-B3A03DEEA142}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{597E00C1-5CA0-4692-9778-1926AF995716}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{4022D993-5FBD-4060-8D34-A579003F000E}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{BCEDA55D-5413-4C7D-8083-DDE380949D98}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{DA2D4535-0505-4CFC-80DE-0BC386168524}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{856905B8-2790-494D-A77E-80FD99A01ED6}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{51B55B8F-8B7C-406B-A745-BFB734B4399E}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{EF79FAAB-3DF5-4D5B-AD03-985611D9125A}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{95A2C7EA-9D84-4E30-9727-4104FFDCB094}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{D18E9F57-C4D4-4AAD-8CF4-C59100459C22}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{AF153EF1-BA3C-48DA-874E-9FD1495812B8}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{5F361CDA-82AA-4223-B1BD-99930DD255A9}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{06675E0B-409C-4A3C-8348-19F7F826C64B}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{08EEDD91-9B25-4825-BF35-AD96995CDBF1}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{A5B80FF7-CABA-4187-BBA6-05088D5D7C4D}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{3440CD1C-CCD4-416C-A16E-674C692619AB}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{FC05EAC2-ADBD-4344-B6D8-0B008852047B}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{8AF18452-420D-459D-92D7-47822DEE5631}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{92236139-A674-4A18-9077-3274F3E5532D}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{E437421A-B0AB-47B5-812D-E6E20CED6DCD}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{2D2798AC-02A9-41F9-8BDF-D20D994CF27E}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{97F478F8-ADB9-403D-9FF0-810608DDF298}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{BF92D965-2665-452C-9486-0E7022F515A6}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{7B20974C-1725-47E8-808B-68DEEA1C6639}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{506D2C01-65AA-4F2D-82F0-676C7EFD5944}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{DBB9631D-B537-47CA-9B22-AB6E2ACCC114}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{427DF7A2-EB9F-4C71-9E08-B0744C4AAE21}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{A53729B2-E1A8-4B66-973D-20675E6DB0D9}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{3470E2DE-D1ED-4DF2-BD61-AA2C5320ADD4}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{6EC5AB3B-6DAD-41D4-823F-B7758FFBF20C}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{15CB9156-93FF-4425-B6A4-DFF0A2ABB925}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{42929D10-B472-49F2-B09C-7119D57971A1}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{802164A7-948C-4F33-942D-DE77F4423FE1}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{FFB836F9-724E-42D9-8840-981819032775}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{EFD5C740-FB1F-4374-8E4E-A79ACF8406B1}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{1B9D8258-6215-485D-821B-2E8DDC98A7D9}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{B0892D96-F8FA-45F3-AB97-42410561BE81}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{4CEB1E78-D94D-4344-8227-DDC7804DE74A}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{CF9051E7-1865-43E9-AFDE-897C3C4AFD57}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{9633638F-C993-4C8D-A029-685C2E79E9EE}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{12C26F15-3E7D-479B-8F2D-E7A0B7907D97}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{DEA3D5B5-1941-40E2-A6AD-6B22E854DF33}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{610BF146-3D64-4839-8B92-57DEF12F4C9E}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{6B9D82E2-5729-4958-9EB4-48ACB1331761}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{4D64C341-69E9-48B1-BB29-F3147A71DAAF}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{3D35DD0F-5326-4A71-9427-D7AF49133267}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{976CB3D3-EA19-46B2-8A50-FF6801E7314A}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{9362FA62-E686-42BE-9800-16091DBC9543}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{6D5FEEDE-6942-4DB9-9349-3BA6E329BD4C}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{DFCF9ACE-6A59-4453-A77D-55A509F64840}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{6DC231E4-2C25-4B71-B0DD-D51D60E93769}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{5F080722-042E-4A1C-AC7B-8480309329CE}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{841F0911-CA46-4BF6-9F3B-CF716D011450}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CFA-4D06-BCD3-163342D19AC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CFA-4D06-BCD3-163342D19AC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CFA-4D06-BCD3-163342D19AC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CFA-4D06-BCD3-163342D19AC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CFA-4D06-BCD3-163342D19AC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CFA-4D06-BCD3-163342D19AC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CFA-4D06-BCD3-163342D19AC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CFA-4D06-BCD3-163342D19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FA-4D06-BCD3-163342D19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{5AA5733A-97C8-40CA-99AB-FF4A49A134D5}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{3C8EB920-965A-483C-BF42-908A0CD01CAE}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{2FD6D01C-1280-4AAB-A3E3-81FC26E7CB23}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{D7014BBC-84BC-4D99-8FB8-57B8BA950356}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{2AE5A6F1-9705-40B7-8B63-6F23CCC3C3DE}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{8DFA78FD-C50D-425A-92E4-6B53D18786C8}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{CBC91670-C598-440F-A556-23E710D59C49}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{767F2279-63A2-4B70-9C88-1A5042A90F08}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{49477894-15B4-4245-AE70-45C5D2AF4A99}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{49A9C107-FEFE-4278-8B51-EC7399B5C29C}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{7CDFA3F5-2E54-45A6-9FAD-7144AE22DFB7}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{A274D54B-93F0-4547-B8F5-DE4891D43208}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{720EA816-1A1F-4D69-B78C-624B8902ACEC}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{1D1DEDC7-C0E9-4BE2-B23F-FC2393ABA6EC}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{7DD4D348-51FE-4B65-95E2-D8492762F7A2}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{322F868C-5576-4AAA-8435-C54AED0B84A0}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{A7D61474-5EC1-44B6-A1F1-9D798820D734}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{2EBBC7C6-C872-4FE2-AAB0-88A3006851EE}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{0C07507D-BF19-4A11-AB0F-ED859D0D17D4}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{17CB8107-00DB-4E14-9B91-51B608B632B4}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{5FA87436-C291-4922-A7CC-0596A1C15584}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{2B9F591D-1829-4A0F-A817-929AD3524CC7}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{BD2849E0-5D51-48DE-B9AA-6A5893E1C0AE}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{44635FA2-EBFB-4B08-AC94-AFCE1EA6F860}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{621EAB91-5BB5-43E4-B4B8-3AE245772FE3}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{13D09DA8-ACB6-445E-9438-5DE968DF3F76}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{C7911137-25FD-4BDC-8629-271EBAFF9C1A}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{AE35E37C-D102-42D0-AAF7-2919AB99D805}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{5407E205-D3CD-426E-8365-66D43570F399}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{50E0FCBC-8792-49F2-B38E-3966404FE766}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{60712360-E9C7-4337-AB99-2A9A27A936C8}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{CDEBBF67-5FFF-4C88-A24C-0B98B37DE3AF}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{2D5A4A20-3DDE-41A4-9D7F-0F55D9D03C1D}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{8C9D87EB-6F25-4B91-B47E-F4AF3B97D9CD}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{FB187AEA-1678-45C7-97BE-CF694A7FE237}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{A479F1FC-F791-4765-9F0A-1CF31F3F02A5}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{B3343F9C-C663-4833-A7FD-C348C62594B5}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{CECC516D-B18F-4B17-8097-AAFBA501F92E}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{37890EE0-65F6-469E-B765-662FE03C379E}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{AE064AAF-CC5E-4AF2-BDB8-F0CFFB259748}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{09FC76B8-1E4C-4DE4-B74C-669119BFCE5E}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{2CF455D0-7EDF-4BC2-BC62-BEA52FF6EA80}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{AB34EE2C-A148-4EB1-A2B2-2850EB03A2C0}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{3BE0E552-24AC-43F1-B9D8-162778FB21A9}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{3423369A-C4C0-4778-95EB-66E127B8C212}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{44B872AD-6998-43F4-BAEA-934088C4BAFC}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{257475CB-3F99-47D0-A706-AB627FB82175}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{7E28FA81-0764-456A-8B86-8DE0D166CA81}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{B4C18216-6106-4E0B-878C-3EFBA11F9B86}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{4B5D7484-1496-4D96-AE24-A4D94D896FC4}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{E7B28B38-24BC-4DD4-B961-E0D459535232}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{2DE68B85-6DB2-4215-ACB5-1B6A03BF0BE5}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{123BA8D0-33D1-4B42-BCC0-2AB4CF6039ED}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{61C95536-8C9D-4F45-9856-CCD74BE6A3FA}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{A257BC61-51BD-4A9C-AA8F-EE7FAC2DC036}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{FE2933D1-DACE-41F7-AA27-6C8F82AB56B1}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{60DCD4AA-8272-4E32-99D0-A5DBCF56B8E0}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{9272047B-99FD-480A-BF8F-A4F1E618B394}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{646CC16A-1110-4B7D-8ED0-ED67D6D39DA4}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{2D54A639-9BC7-44BB-AAA6-B8CB620DBF03}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{F951E417-BA24-467C-AA57-A72D0EF5A4F3}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{8FC48052-906A-44DF-937A-549E248AFDC3}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{F62148B1-7E14-461B-B364-4DC8F37F6490}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{5A3F5B62-30B4-4AAD-8E94-04AC3A3D3565}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{0FA646F4-08FF-490C-9DAD-FE370CB36258}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{59E78A78-4087-4A26-814E-BEA895E05CA4}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{CD7DE79F-B6C6-46C7-9D6D-A10C41E9BC0D}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{574328DC-71C2-48E8-B9BA-98F958C060CA}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{4EB2969F-2664-4CA6-92AC-657F16C7B455}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{31FD1A97-B702-4190-B8F8-44F406260413}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{07369E87-36B2-458D-AC9F-4FC0BA4CAF2C}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{9A09960D-A28D-4B8C-B4F3-5DCB2C878E87}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{87FA7947-8506-4167-8129-544E0C57870E}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{26DE8BDB-16F2-456B-813A-FF6F162B3781}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{43D3AD69-24C1-4359-932F-6E0ECF977189}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{086725E0-430C-44E8-97CB-C864B7727667}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{DD37858B-D646-4B33-AF5D-EFFFAFD378BE}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{6EB69B53-B2C3-4CE4-A8DC-CF8E5CD0B236}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{25F0EDD5-D4F1-4BB7-891B-9442A396E5FA}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{AB238411-B6D1-4ABA-B62B-F6A6754AE588}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{214FCFD7-C51E-4C26-A64B-BF8F3E806AFF}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{ECE7B2DC-2F85-4E94-B2F3-156B197DD981}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{56EFAFB5-2630-4864-BE8A-CFF4C2D387D3}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{8038C0CC-5794-4375-A492-C6C94BF856FA}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{B0128650-8C85-4288-BB10-F1EB99199B67}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{19FE5F11-43B0-49CE-A3F1-73FB4E6F1CEB}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{8BF051B1-6A48-4BC9-8632-6EF9C92C634A}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{1F78803A-85AE-4183-9012-AAEBE2314BFE}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{9EFCC658-D7A7-4A25-B389-3F6042638A81}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{89C26D2F-DF82-4BB0-BA25-095943E5B46C}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{EE3DF1A9-AE95-430D-8227-09ADA375721B}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{AAE6ABD1-5CF7-423A-B34D-0100C8B120AE}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{800CB84D-9A89-45A6-B168-05BE7E2BCF45}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{30751314-167D-4289-BB96-468D79A6767C}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{F29E7CD2-001B-4B19-A456-B3FA6067B226}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{35E89A1B-4511-4963-8877-94C123692478}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{9E326BC3-1AB9-4B50-AD6B-593E885AD7B4}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{1734CDC0-0C0A-48DA-895B-D09F658B36FC}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{EA7D6C52-AE2E-47C5-B558-A35A1D0095A8}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{6F9D2557-0FC2-467D-8B88-6D1F8B89FBC2}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{AD7D2DAA-7930-4E47-95C2-3F69D6C689AA}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{682EE4C2-BF69-4C7F-AAC7-09C0AFF6481A}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{77A528D3-DA9E-4466-A610-DB745E6289AD}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{92352092-57D4-48ED-BE7C-CA7FE1876ECA}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{B59AD6AA-9ADA-49F4-ADD8-5FCB4A72611A}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{D8A33E87-9F9C-4A6A-85AB-BF07D4012419}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{8C87BB59-498E-4CA7-A152-7F43F4DBBC31}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{6F39239F-B0D7-49C3-8348-05EA77A4418F}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{F5A8DF58-2E91-4AEC-BA93-E170FFD8DF50}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{BB3B571D-3088-430A-8505-D202F082EFC0}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{E90F7970-EFB6-4FBD-8A74-84DDB23C0355}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{1CB1E4F1-2D7B-4599-A3E1-1A2DA569043C}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{119FABA9-9260-472F-898B-EBF34890D3C4}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{5B77AFE8-3E0F-43B8-B415-22A350E1A1FE}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{CC993650-DA71-4157-AACE-6ABF8A0F3803}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{A8B9C714-3AC8-46C2-A92D-BC56F8A4A328}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{94603953-2000-4CC2-8192-5AB78432B848}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{60CCCD06-C877-4CE0-ACA4-B5FF7E501C51}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{AEEEB103-6FC5-4EB9-A780-11269A066EC8}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{A9506EDF-7EF5-4700-8F99-B19EE5458C0F}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{02028993-3870-4B76-8B18-D05A49948E3E}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{1CCC2FAC-FF6E-4C06-BBB0-EF5B749E3E3B}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{65282BDB-78BD-47DF-97A4-FC9E4DB77812}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{1072A499-F867-4C51-86D0-8D1160F7A544}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{86A52504-D789-4D33-9958-BF9DC9B631E6}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{E1D1B5F4-6ED8-4D3B-847D-D3627851CFF1}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{ACADB459-A17C-4D84-A764-E81BE1AF3A48}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{35BCBC11-3FF5-4047-B925-BA3A7A194582}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{DB4AD355-1F4D-42FE-9EB6-E252289F5B18}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{35BD55EF-BA9D-495E-BE0C-655FF2FE104F}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{28B91476-5A27-407C-9A7A-9C7E30A6DB7A}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{98D8A18C-C034-4096-B96E-05CF017993D2}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{F8AD6B0B-F978-4162-85A3-16EADC4A0F52}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{B567B559-5BF8-4A9E-A6AA-42B6AEF2F0BC}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{2EC29A37-6C08-4F2A-81A3-7E4F69260B43}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{427B4488-A394-4397-8BDE-667D8DA4FBCF}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{E4B857F3-CCEA-46DC-BB34-42AC108C010B}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{7B43242E-E4E6-49EB-8E74-0F66AD497F74}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{CE2D154B-5BD3-4636-9838-5C2D86CF511B}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{E8198E82-8361-437C-960B-E9E60D414393}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{3FDBAA63-3D5C-4D1D-8AB0-B5024E0962C8}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{99D1AAD8-06E8-4FC0-A1D0-1ACA4841FFD2}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{6EBF2F92-D3A2-49BB-8D90-BB99C2D051ED}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{5C972202-E3C9-4EF2-9A15-0C706E1B9637}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{B65851DC-44A1-4816-932C-E4213929A751}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{C6726DF2-80A4-4BDA-9247-F426DA2438DB}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{9CA423D6-09B8-4CF7-AC90-B9B778F02D47}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{BFAB0B1C-E58E-4C9D-91F8-4484C6DBE846}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{6D974C23-3A93-4A6F-BF80-7964E6CCFA14}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{8A70216F-F50B-4401-A106-5249D64B49E1}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{EA783130-7F77-4AAE-9F35-54A2068E14F8}</c15:txfldGUID>
                      <c15:f>Credit_2022Q1!$J$8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DE4-4E02-95B8-4A7C74AA726A}"/>
                </c:ext>
              </c:extLst>
            </c:dLbl>
            <c:dLbl>
              <c:idx val="1"/>
              <c:tx>
                <c:strRef>
                  <c:f>Credit_2022Q1!$M$8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{1223D357-1828-441D-A996-96EC13149449}</c15:txfldGUID>
                      <c15:f>Credit_2022Q1!$M$8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DE4-4E02-95B8-4A7C74AA726A}"/>
                </c:ext>
              </c:extLst>
            </c:dLbl>
            <c:dLbl>
              <c:idx val="2"/>
              <c:tx>
                <c:strRef>
                  <c:f>Credit_2022Q1!$P$8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{5B8F736C-D067-44FE-8D1D-2728F70A18FA}</c15:txfldGUID>
                      <c15:f>Credit_2022Q1!$P$8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DE4-4E02-95B8-4A7C74AA726A}"/>
                </c:ext>
              </c:extLst>
            </c:dLbl>
            <c:dLbl>
              <c:idx val="3"/>
              <c:tx>
                <c:strRef>
                  <c:f>Credit_2022Q1!$S$8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{C0C1F935-D8C1-417C-97F5-E460D40DB152}</c15:txfldGUID>
                      <c15:f>Credit_2022Q1!$S$8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DE4-4E02-95B8-4A7C74AA726A}"/>
                </c:ext>
              </c:extLst>
            </c:dLbl>
            <c:dLbl>
              <c:idx val="4"/>
              <c:tx>
                <c:strRef>
                  <c:f>Credit_2022Q1!$V$8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{DD2EA021-031F-4BC6-8311-FDD2AED2AC3E}</c15:txfldGUID>
                      <c15:f>Credit_2022Q1!$V$8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(Credit_2022Q1!$Z$8,Credit_2022Q1!$L$8,Credit_2022Q1!$O$8,Credit_2022Q1!$R$8,Credit_2022Q1!$U$8)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E4-4E02-95B8-4A7C74AA726A}"/>
            </c:ext>
          </c:extLst>
        </c:ser>
        <c:ser>
          <c:idx val="1"/>
          <c:order val="1"/>
          <c:tx>
            <c:strRef>
              <c:f>Credit_2022Q1!$J$9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{AD94772A-6F7C-4E97-916A-4DD5C175CCE5}</c15:txfldGUID>
                      <c15:f>Credit_2022Q1!$J$9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DE4-4E02-95B8-4A7C74AA726A}"/>
                </c:ext>
              </c:extLst>
            </c:dLbl>
            <c:dLbl>
              <c:idx val="1"/>
              <c:tx>
                <c:strRef>
                  <c:f>Credit_2022Q1!$M$9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{4236E028-60A3-493B-9240-D92F578840CA}</c15:txfldGUID>
                      <c15:f>Credit_2022Q1!$M$9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DE4-4E02-95B8-4A7C74AA726A}"/>
                </c:ext>
              </c:extLst>
            </c:dLbl>
            <c:dLbl>
              <c:idx val="2"/>
              <c:tx>
                <c:strRef>
                  <c:f>Credit_2022Q1!$P$9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{DAAA9E04-03CF-4E3D-AB53-DD0747300EA6}</c15:txfldGUID>
                      <c15:f>Credit_2022Q1!$P$9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DE4-4E02-95B8-4A7C74AA726A}"/>
                </c:ext>
              </c:extLst>
            </c:dLbl>
            <c:dLbl>
              <c:idx val="3"/>
              <c:tx>
                <c:strRef>
                  <c:f>Credit_2022Q1!$S$9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{1C9DDC7B-A60F-453E-AB35-633E6BC8DC61}</c15:txfldGUID>
                      <c15:f>Credit_2022Q1!$S$9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DE4-4E02-95B8-4A7C74AA726A}"/>
                </c:ext>
              </c:extLst>
            </c:dLbl>
            <c:dLbl>
              <c:idx val="4"/>
              <c:tx>
                <c:strRef>
                  <c:f>Credit_2022Q1!$V$9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{187C2DD6-1310-45E7-A0EC-C5236052051D}</c15:txfldGUID>
                      <c15:f>Credit_2022Q1!$V$9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(Credit_2022Q1!$Z$9,Credit_2022Q1!$L$9,Credit_2022Q1!$O$9,Credit_2022Q1!$R$9,Credit_2022Q1!$U$9)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E4-4E02-95B8-4A7C74AA726A}"/>
            </c:ext>
          </c:extLst>
        </c:ser>
        <c:ser>
          <c:idx val="2"/>
          <c:order val="2"/>
          <c:tx>
            <c:strRef>
              <c:f>Credit_2022Q1!$J$10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{72FC6C08-8CB3-4700-ADC1-0E94FE94BA61}</c15:txfldGUID>
                      <c15:f>Credit_2022Q1!$J$10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DE4-4E02-95B8-4A7C74AA726A}"/>
                </c:ext>
              </c:extLst>
            </c:dLbl>
            <c:dLbl>
              <c:idx val="1"/>
              <c:tx>
                <c:strRef>
                  <c:f>Credit_2022Q1!$M$10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{259B47C0-DC23-4025-800B-D90C2B97126B}</c15:txfldGUID>
                      <c15:f>Credit_2022Q1!$M$10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DE4-4E02-95B8-4A7C74AA726A}"/>
                </c:ext>
              </c:extLst>
            </c:dLbl>
            <c:dLbl>
              <c:idx val="2"/>
              <c:tx>
                <c:strRef>
                  <c:f>Credit_2022Q1!$P$10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{F5E6CCE6-5B17-4544-BF88-5803BCC29CEA}</c15:txfldGUID>
                      <c15:f>Credit_2022Q1!$P$10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DE4-4E02-95B8-4A7C74AA726A}"/>
                </c:ext>
              </c:extLst>
            </c:dLbl>
            <c:dLbl>
              <c:idx val="3"/>
              <c:tx>
                <c:strRef>
                  <c:f>Credit_2022Q1!$S$10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{D51B8A68-A86B-47E9-BB57-3E8FFD14AD1D}</c15:txfldGUID>
                      <c15:f>Credit_2022Q1!$S$10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DE4-4E02-95B8-4A7C74AA726A}"/>
                </c:ext>
              </c:extLst>
            </c:dLbl>
            <c:dLbl>
              <c:idx val="4"/>
              <c:tx>
                <c:strRef>
                  <c:f>Credit_2022Q1!$V$10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{4F06B959-35BA-49FE-B0A2-B2353A12D1BC}</c15:txfldGUID>
                      <c15:f>Credit_2022Q1!$V$10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(Credit_2022Q1!$Z$10,Credit_2022Q1!$L$10,Credit_2022Q1!$O$10,Credit_2022Q1!$R$10,Credit_2022Q1!$U$10)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DE4-4E02-95B8-4A7C74AA726A}"/>
            </c:ext>
          </c:extLst>
        </c:ser>
        <c:ser>
          <c:idx val="3"/>
          <c:order val="3"/>
          <c:tx>
            <c:strRef>
              <c:f>Credit_2022Q1!$J$11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{53CB41B4-D86A-4D09-A07C-C78A643729BC}</c15:txfldGUID>
                      <c15:f>Credit_2022Q1!$J$11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DE4-4E02-95B8-4A7C74AA726A}"/>
                </c:ext>
              </c:extLst>
            </c:dLbl>
            <c:dLbl>
              <c:idx val="1"/>
              <c:tx>
                <c:strRef>
                  <c:f>Credit_2022Q1!$M$11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{7F2DA6EC-7012-47EE-A4EB-B939D577D86F}</c15:txfldGUID>
                      <c15:f>Credit_2022Q1!$M$11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DE4-4E02-95B8-4A7C74AA726A}"/>
                </c:ext>
              </c:extLst>
            </c:dLbl>
            <c:dLbl>
              <c:idx val="2"/>
              <c:tx>
                <c:strRef>
                  <c:f>Credit_2022Q1!$P$11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{B2E9555B-C25F-44B5-B429-AFE6FD84654B}</c15:txfldGUID>
                      <c15:f>Credit_2022Q1!$P$11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DE4-4E02-95B8-4A7C74AA726A}"/>
                </c:ext>
              </c:extLst>
            </c:dLbl>
            <c:dLbl>
              <c:idx val="3"/>
              <c:tx>
                <c:strRef>
                  <c:f>Credit_2022Q1!$S$11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{3EC80755-CAAE-46C6-83FD-5CF835DB4756}</c15:txfldGUID>
                      <c15:f>Credit_2022Q1!$S$11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DE4-4E02-95B8-4A7C74AA726A}"/>
                </c:ext>
              </c:extLst>
            </c:dLbl>
            <c:dLbl>
              <c:idx val="4"/>
              <c:tx>
                <c:strRef>
                  <c:f>Credit_2022Q1!$V$11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{4F544F9F-308B-4EAD-8F34-889E2BB52C94}</c15:txfldGUID>
                      <c15:f>Credit_2022Q1!$V$11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(Credit_2022Q1!$Z$11,Credit_2022Q1!$L$11,Credit_2022Q1!$O$11,Credit_2022Q1!$R$11,Credit_2022Q1!$U$11)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DE4-4E02-95B8-4A7C74AA726A}"/>
            </c:ext>
          </c:extLst>
        </c:ser>
        <c:ser>
          <c:idx val="4"/>
          <c:order val="4"/>
          <c:tx>
            <c:strRef>
              <c:f>Credit_2022Q1!$J$12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{BBC00397-4896-43F7-BE01-B21CC348F494}</c15:txfldGUID>
                      <c15:f>Credit_2022Q1!$J$12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DE4-4E02-95B8-4A7C74AA726A}"/>
                </c:ext>
              </c:extLst>
            </c:dLbl>
            <c:dLbl>
              <c:idx val="1"/>
              <c:tx>
                <c:strRef>
                  <c:f>Credit_2022Q1!$M$12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{E589EA35-7714-4963-B3DC-B90425D93E46}</c15:txfldGUID>
                      <c15:f>Credit_2022Q1!$M$12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DE4-4E02-95B8-4A7C74AA726A}"/>
                </c:ext>
              </c:extLst>
            </c:dLbl>
            <c:dLbl>
              <c:idx val="2"/>
              <c:tx>
                <c:strRef>
                  <c:f>Credit_2022Q1!$P$12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{58B69762-78CB-409E-8397-31DF7D618308}</c15:txfldGUID>
                      <c15:f>Credit_2022Q1!$P$12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DE4-4E02-95B8-4A7C74AA726A}"/>
                </c:ext>
              </c:extLst>
            </c:dLbl>
            <c:dLbl>
              <c:idx val="3"/>
              <c:tx>
                <c:strRef>
                  <c:f>Credit_2022Q1!$S$12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{28C55831-788B-405C-B91E-B463E73FA5BD}</c15:txfldGUID>
                      <c15:f>Credit_2022Q1!$S$12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DE4-4E02-95B8-4A7C74AA726A}"/>
                </c:ext>
              </c:extLst>
            </c:dLbl>
            <c:dLbl>
              <c:idx val="4"/>
              <c:tx>
                <c:strRef>
                  <c:f>Credit_2022Q1!$V$12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{ED5DB6EE-C641-4D05-956C-6D25E84684C5}</c15:txfldGUID>
                      <c15:f>Credit_2022Q1!$V$12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(Credit_2022Q1!$Z$12,Credit_2022Q1!$L$12,Credit_2022Q1!$O$12,Credit_2022Q1!$R$12,Credit_2022Q1!$U$12)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DE4-4E02-95B8-4A7C74AA726A}"/>
            </c:ext>
          </c:extLst>
        </c:ser>
        <c:ser>
          <c:idx val="5"/>
          <c:order val="5"/>
          <c:tx>
            <c:strRef>
              <c:f>Credit_2022Q1!$J$13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{B975E057-A64A-4C06-8218-FFF8E1C819DB}</c15:txfldGUID>
                      <c15:f>Credit_2022Q1!$J$13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DE4-4E02-95B8-4A7C74AA726A}"/>
                </c:ext>
              </c:extLst>
            </c:dLbl>
            <c:dLbl>
              <c:idx val="1"/>
              <c:tx>
                <c:strRef>
                  <c:f>Credit_2022Q1!$M$13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{1C031207-B62C-4B7E-B858-E64E363BFDF9}</c15:txfldGUID>
                      <c15:f>Credit_2022Q1!$M$13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DE4-4E02-95B8-4A7C74AA726A}"/>
                </c:ext>
              </c:extLst>
            </c:dLbl>
            <c:dLbl>
              <c:idx val="2"/>
              <c:tx>
                <c:strRef>
                  <c:f>Credit_2022Q1!$P$13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{E1A4FA35-BD86-40BD-933B-87A5D612AB97}</c15:txfldGUID>
                      <c15:f>Credit_2022Q1!$P$13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DE4-4E02-95B8-4A7C74AA726A}"/>
                </c:ext>
              </c:extLst>
            </c:dLbl>
            <c:dLbl>
              <c:idx val="3"/>
              <c:tx>
                <c:strRef>
                  <c:f>Credit_2022Q1!$S$13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{E6CE8419-E464-4504-8C3E-0A8378929C93}</c15:txfldGUID>
                      <c15:f>Credit_2022Q1!$S$13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DE4-4E02-95B8-4A7C74AA726A}"/>
                </c:ext>
              </c:extLst>
            </c:dLbl>
            <c:dLbl>
              <c:idx val="4"/>
              <c:tx>
                <c:strRef>
                  <c:f>Credit_2022Q1!$V$13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{82E011C9-18B5-4CC3-BA76-1A8AC20D4B12}</c15:txfldGUID>
                      <c15:f>Credit_2022Q1!$V$13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(Credit_2022Q1!$Z$13,Credit_2022Q1!$L$13,Credit_2022Q1!$O$13,Credit_2022Q1!$R$13,Credit_2022Q1!$U$13)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DE4-4E02-95B8-4A7C74AA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{4CE1AB07-2474-497D-A5CA-6D8D461CFE7C}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{2F2E3F05-2C64-4386-B7CF-6E0E409384EA}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{2FFC387B-2816-4607-A194-DFEBAA677409}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{2A064503-CCEF-48C1-B8C3-9764BF7F6F93}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{9E39E4D7-78D7-476E-86AE-9A53CCE59AE6}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{50C627D6-4158-4162-9F36-32C560B3F76C}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{E701C493-F863-41FA-B7D9-E4C39F478361}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{2F9BED62-A2F9-43AE-A31A-C0FAB542A2F2}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{3E653D1A-7992-4952-9745-51352AB5A206}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{9ABFD9A9-1D81-4DA6-B223-4766DF7685F0}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{20F19C85-0BBC-4828-9CA4-677E3F40F4B5}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{72685E1B-F237-4080-8390-35747AAFCC67}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{BAAF2361-9058-4269-BDCD-EC455D00800D}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{90820AC0-0018-4F8D-90FA-D7A7E07B8F7F}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{89712226-DC45-4AA8-BC9B-5E5789D83734}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{531E1720-E8FB-4920-8434-4F9C4F8E6AB1}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{A0A71036-CC5E-4B05-AE85-57F7FF601625}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{7A8F8A40-C0D5-43F6-ACF1-9855E61BD92E}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{A3C44235-DE63-4172-8CDF-22F3F6CF04B8}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{0CD3845A-E2E5-41A4-B984-9CCF1BC20BD2}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{D34F3025-B28E-4098-AE21-18F7D0750213}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{172B7D77-7DEC-40F2-8791-A444B210CCBB}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{EEAA1710-9021-4853-BB64-C280231F778F}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{841AEE39-C985-4B7F-A257-336926E491B7}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{A0787282-2ED6-4603-B01A-07E264D71782}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{D3466E07-CA91-4558-87D3-1574F1954D45}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{AAE63F3A-974B-463D-827C-ADA2175D1AB2}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{3A87C576-4D96-41EC-A59E-6B61B724E14F}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{279CE1D6-5AB8-4033-8986-8A9D987B1A9D}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{23A26631-6910-4ECF-96BF-1C541A3975DE}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{08DB0A54-7CC9-4118-8C0F-34C96793F48F}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{CE9FF642-9E33-4EAD-8EAF-12BD4AE6E9A8}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{9B953EF2-B08B-466D-B6CF-78A76B0DE065}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{513AA68A-9C9E-4D5E-B305-C6A8AC5979A1}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{1FE19197-3B19-4A9C-8453-922415E9940A}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{85AA762B-98E5-44FE-BC17-18BB2C9D8688}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{6F267A3D-DF93-4DA1-9CCF-BBD40A910FC2}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{A50D1978-ACF3-46B8-97E8-FB7C6AFA9DF4}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{14DA620A-5DB1-4833-BEC2-DD8B599136BA}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{0D5E7FE2-C492-4ECD-B277-88845CD247BD}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{5CE7AE2C-62C0-4A49-A724-59822EA25D63}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{22E31406-8056-47C6-A2B1-2BEF88C5A86A}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{886E5000-7FA8-469A-8CFE-7396B13F70F6}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{7714471E-6CFA-4175-8517-A2D5C2E98303}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{824451E1-719D-4DA0-8B54-73F62D4C587B}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{6422022B-D0C1-48D0-B046-1570F0CB19D6}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{D361662A-4203-424C-9C86-3EA29F48CB10}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{E7E2AE2E-99A9-4BFD-9E80-195BC74DCC69}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{F5186F8B-9306-4D1A-B738-2C8D7FA179AA}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{9202E950-D590-4A1C-ABB9-512497BF4066}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{92A98F3C-595D-4E60-AB2E-E4CA615EC75F}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{D35461F3-5DA1-4704-9FAA-B7308424C575}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{9EF49731-CB09-4726-BEF4-E84B7645CDB8}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{532AE565-6AA6-4079-8EB3-04648A53F669}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{9CC0DA69-2467-476B-8C15-C451079FB2B4}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{085DD5C6-9BA6-4EE9-87D4-48BBE8A569FE}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{3942EB0A-7502-493B-A2C9-ED79F84312B0}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{D5D8849B-69DE-4F1A-BE4B-A67F585F064A}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{78AB3194-371F-4533-992C-AD39B6BD7C45}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{652DB73F-9271-4540-AEBE-819A71C1924F}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{C472406E-F4B9-48CA-A0C8-DE534D4D60ED}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{DF61C485-DDFD-4FCF-AAC1-AAD88F58FB10}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{21AF0F7B-C64C-4256-88D0-5ED5668A076E}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{E3D209C6-3A04-4D54-AABE-3504A6D7B900}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{B1D4A25F-48A8-4190-A18F-86C67D977094}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{77CA40E0-8C24-474F-973C-FC2A06D11C40}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{E281F441-A4EC-4F51-B072-3C29C30F06F4}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{B0FB5F7C-F82B-4CEC-B82E-37A7500DCBD5}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{EB1C259E-B75D-4027-B347-7570C714B0DA}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{94F175E0-D8B8-4F3B-9CAE-E6D34E707A5D}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{7691A8EE-2B63-434B-A821-36464B34C483}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{88731B7A-60FC-4DF7-83BD-FCF8A2319000}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{2B9D158C-4B28-4E03-AEC8-161AEDE0BA6C}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{D55A0CB5-F948-4D10-84E4-EBC4F5A7A1C7}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{2ED8B27B-E30A-4259-A4B5-78C9C1973806}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{D74BD172-0147-4DBA-A487-F1DA626283ED}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{DC0AD86C-6068-4322-B83A-0D81BEA03CE4}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{A9A83846-7571-4848-807D-DB88B33EB24E}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{99751221-15C1-4B81-9D5B-83F4800D7DB9}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{F6ECD928-1FF1-42C2-ABCA-5B528400DD67}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{FCBD0D54-0589-4399-9174-87AA7129D60C}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{1D53EF72-552A-445C-BFEC-7008F5D28735}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{52ECEC1F-1766-497D-A10F-52A79F74024C}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{A97010BA-1D9F-4830-A200-E9A2FDDA5A72}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{1F571F97-1C74-47A1-891C-7AC7A631A164}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{BD31FA99-06C0-4C5E-B0D4-8714551176C7}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{E29B38CF-FE36-4FCB-8421-44FB21E44A40}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{B573575D-0327-4E3F-80E6-094DDCD5150F}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{979B9CB3-6AD5-419E-B682-EB42340A6CC2}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{57F4A644-5173-4218-AB5C-B4A6858D3E97}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{DF90BDF2-447A-4C0D-BCCC-2D061F61506C}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{F3581B05-B756-4461-A2C8-B79E06E6DC19}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{0CA3FB10-3FD9-4680-9BD8-1C1CFABB208F}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{F57DA583-6192-4559-A5F3-00AD478EA4D7}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{2F5357BA-AED7-434D-8A5F-E34B332AEA2E}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{2BEDCCFB-4E5B-46D3-9ED5-3B71CB4B1DB9}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{3CBF7784-0824-4EC7-9890-F820EE5B24CF}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{A412237E-F098-4CEA-86E5-512FB23F6D96}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{8AB755AB-F658-47A3-BE6E-2DDDD9A30ED5}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{B2DC9355-016E-4DDB-A4C6-437E90DFB7C2}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{5DFEAF2A-BAB3-4FDA-A8EC-5B8453FE2B5F}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{A1E4342C-285E-45FA-8B48-3FA280BA7977}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{5E8455DC-D549-4C2A-B9EB-B4013E5B4CC1}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{271ABC11-F087-4871-820C-372B025717B0}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{EAB7172F-3A8E-453C-86E9-0A96463324D5}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{8E07A883-8EFA-45F3-B54B-B55E649C2980}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{5912441A-E7AE-4420-B643-5E8CC5ED7C3C}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{F2C173E9-4F5F-43B4-8082-B2740D1079BB}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{D548B10A-8E36-4D3D-AEA2-39911C172BFC}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{BD38D2F0-B684-4FFD-A520-B804255F1D7C}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{723CBFAE-F413-412D-92A5-41CFB99DDBCA}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{B3B60B17-DDB9-4A04-AD2A-CBDF23760B02}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{25CD946D-A872-47C8-B7D3-368D9F5B4810}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{D876BCC4-A9FD-47EF-9F57-1B2860867FE2}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{E86D6FB9-64D6-4DAF-BCAE-0F15F768CCED}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{EF5EDD6A-B916-4A09-9A32-15648C666FF7}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{DAF437DC-A92B-4DDD-83B7-91600D728280}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{BF733871-46A5-40C9-8FFE-D5F39AB93274}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{F22E81A4-7C22-42AB-A3F6-9B0C8034249A}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{2436B6FD-7EDA-4735-B006-ED389F8FE2B0}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{641E8D29-F043-4FEF-AFC3-7946CC5AEC19}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{F8CBD6FF-5CC4-4C72-99D7-BBF096037A5F}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{91C3D7AA-CF24-48ED-8723-033AE1C5B906}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{C9E1C0E1-A30C-4895-8F90-11816B70DCE5}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{4B8CBF05-1DA7-447D-83F0-FE86FE357B84}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{59F8AAE3-E853-4B94-9AF3-0C556E736670}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{63218876-69D8-4417-B15E-22F685BBA176}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{BF8C81B4-D71F-4C66-8267-84E04E7540BC}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{16ED3685-2006-48AC-8BF4-2FE2E8506125}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{21455865-685D-4268-A6A8-D02A1364363E}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{8A4590E0-ACF7-4A19-873D-B0EDAEF8EFE2}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{87663B61-F09A-4BA0-B823-6EA2BA8B305E}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{6A774936-B6EF-4B58-9605-2388D43A433D}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{B419D54F-44F8-487B-9E1D-1EAD4E72D441}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{2CF6BA45-48ED-483A-BFFC-C2BF0331B89C}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{C4AB5D84-F816-4F60-B58B-21B9FDFCB766}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{E0FCFCD3-D2D6-45C9-AFB2-F7AEAC99E17E}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{A2C7101C-1D39-4137-9ABB-2C3DE3C59FA5}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{85C24F8F-91AE-43ED-98A6-F7B494FBE8EA}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{41BFAFD2-BEA4-46BA-95E1-45714F08B41E}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{CE5B4624-C57A-4FFA-9781-9F7169E3D03A}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{D4CAE129-EFB3-4AE5-897E-10ED94DCC5E4}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{D62AC050-51EB-4A5F-8DDD-3CD19CB9F06E}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{4E343BD1-63E6-4877-A5CF-3E5189195BC0}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{4002C69D-C34D-4068-9439-B981F0E65BF7}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{6B5521D5-0CED-4F04-9966-78C88F425386}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{6F05C5A9-0656-4B45-B2AC-B0CB32FE9A67}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{250A434D-DC15-408A-98DD-5F9C007A445A}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{CA6F8098-5E9A-4711-BF96-9A5B0D7A40F4}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{823244F6-F984-48CF-98DC-1B3A1A0217DC}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972-4BCA-B52B-60ED7F08F0D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972-4BCA-B52B-60ED7F08F0D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972-4BCA-B52B-60ED7F08F0D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972-4BCA-B52B-60ED7F08F0D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972-4BCA-B52B-60ED7F08F0D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972-4BCA-B52B-60ED7F08F0D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972-4BCA-B52B-60ED7F08F0D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972-4BCA-B52B-60ED7F08F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72-4BCA-B52B-60ED7F08F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{1BA8A84F-A54D-4240-9C68-907065F44370}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{727BAA2D-2931-468F-A97A-AB0BF63AF800}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{59DF0DAD-717C-4971-B551-D65BFD36F475}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{D53E7852-4BCD-4FB2-8C00-FBB060B75579}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{1D5FEB7D-82ED-437A-8CA9-B5A78767A787}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{2C6763BB-B8EC-4E96-87FD-A40B08962609}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{7A90AF80-37EF-475D-B0C1-632756DAE01F}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{D4022F18-9AF2-4517-B7A9-C339034D386A}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{FC2F0E73-0CB8-42BA-BE2C-80C4CD82A46C}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{6B6E0571-9DBC-482E-BB1E-9BC5EBC39688}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{28A6F832-2343-45DB-ACA2-508FC4561CE6}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{5EBAAD3A-DB33-4A0B-B990-B765C1A72B0C}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{D96DB350-A5CB-4CD6-ACED-70B492CF70FA}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{C496F21C-01AF-43A2-A3D8-EE0870290598}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{90715172-499F-44CA-81E4-42DE605F4309}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{EA2C270F-0222-4969-A27A-793428D3A196}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{28D9C3BF-7BEA-4CB9-91C2-305C00441B38}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{1EFC28D8-C5E0-44C4-8702-1458218D8090}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{20EC409D-7CFF-4A43-B47F-AFD6C08D07E5}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{728D0A61-6F4F-4152-A211-A6AE0B73DB63}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{8EC58E19-2D5A-4948-B3DF-65DFD6E269F1}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{D7633382-CD3D-446C-B314-0B4ABDC05EDF}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{9005F233-3640-4CAA-8238-E8FE1EF7FD4C}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{098CF2D9-50F7-422B-B810-D75649A0A6CD}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{684259DC-4E1D-481C-BE12-2FFF53012D3C}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{98039C57-47A8-498E-96D8-687CEF96A397}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{1CE98D7F-3734-42ED-B288-4A0105554AE9}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{9E106169-EB01-442F-AC73-00BCF697EE9A}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{E47BCA1A-993D-4877-8BBA-62B2D379E638}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{D3479AF1-B0AA-476C-8ABC-6D70CE25F807}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{23D327B6-CCDE-423B-9A38-171963D12998}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{60667336-1B2E-4E91-A41E-5036074AD600}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{BF67418A-AD49-47FC-B45D-0B5A66E831B8}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{928135E0-3709-43B9-9A9E-92E4647D9F4B}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{56FB576E-3FB2-48C1-87FC-49C610FBA023}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{0360B199-8002-4E3F-A387-4020D17C7D3A}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{08810AB8-957C-4C28-932C-4EF55B5AFE4F}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{EC57F22F-67B8-4C98-9405-A8816F5A017F}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{B7DF1B30-D790-46A0-BB6C-80697C734139}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{9A506098-78E7-4782-94DE-F75609CDAE65}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{09EF29B8-F791-4DE3-9B4B-3F3F7BDBB27C}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{D791B430-0DA9-4CA3-8786-3B3ABD1BDBCD}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{987DC42B-1A41-42BF-82EA-59F3044E5B63}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{C323EA8E-1FAE-4952-8D5E-EB590D4313D0}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{4BC0275B-1CD1-44EB-A5C5-411FC1482940}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{31365003-1E66-4980-A915-635737A9443D}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{29791AB1-D307-4B27-8DA8-8F2D57463B6B}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{E35CCD67-CFA5-4933-800E-23D757D7FD0F}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{DE6069DC-51C0-459A-A65F-EA12CAC6FB89}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{75ED66D2-9CF2-4E45-995E-C691AEA87BA1}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{8A9AEC1A-E315-495F-A5D1-CD761994ECE1}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{763E509C-6956-4884-A8A4-EF830FA75F19}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{2EB10FE8-BDD8-4950-8759-3C13EEB2B6C9}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{FC6902F0-6B4F-4216-AD94-E877BB81F842}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{BD41FE1F-CB14-4BD5-B157-2F855CBD7C07}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{2A2BCEF0-020D-451A-A860-1B98C497E43C}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{695BB33D-19DE-4CF2-86D5-0774B1FC14B0}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{4CDEF8C4-24BA-447D-A7E6-9916D42A4670}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{AFE3FF74-8862-4ABC-8B67-7F416EE30559}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{684878C0-8465-4D5D-BFC1-ABB88D459EAB}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{8183D6BF-F341-466F-8AE2-4A983F92EE2E}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{F2510082-E887-486E-AB71-BF41089376C2}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{009F40BD-CA96-48B7-8331-025DCB4C03F1}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{EE8F533D-82AF-482C-AA7C-BA178157A3B1}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{410B7970-585D-4921-82E8-2C11FFF5D4FE}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{D2380378-EFCA-465D-8E9F-558DBDDC8279}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{D84A8827-7724-479B-AF80-303ACB4D446D}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{59D3EC47-2457-4E92-ADFA-515C2DD202FE}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{47A34980-35DC-47F2-AA28-6720DC17DD70}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{078448DA-E0AE-4647-B533-5974393D1397}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{C24A2A7C-D286-4628-B01B-C63D190E434A}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{6C4726AE-C1FE-4CEE-8BBF-EF254D64F5B3}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{B497346D-678F-4110-BD94-02C7D9EE7F96}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{2811B1E5-1BAE-4B15-A06C-D03D88C8C6D5}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{0AB5BBBC-C378-4917-9046-6061944200CB}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{64BBDE57-D1BE-4214-AFAD-CB3C1BB6D843}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{9E938E74-C112-41B7-95EF-1EDFB5B73607}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{86935ACE-184F-4006-A73A-7C07CD0873D4}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{11CE2F67-5D89-4E83-A015-79AF09EFBDDE}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{0688E8A8-8C6D-44EE-A23D-B53BE71C39A4}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{8A16C3B1-EB68-4FE0-9D68-039902EFBA07}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{A4AF0A33-4F31-42FB-B655-CB248CF0E71C}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{6301687E-24B0-4EFD-99ED-A74D25F1573D}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{BA89AC6D-D3A6-4AA2-B97C-756AE95707A3}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{5348705F-F07A-4B03-A84D-C114CB8E3780}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{6A94779E-2F7A-44CB-8705-41E7E1E3DF70}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{61CEE451-41AF-4B04-90F0-0BA252BA5AC7}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{CC33D46C-863F-42DA-87D7-36EA35E53047}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{DB2F825D-D22D-41FA-8A6B-96F91F723341}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{E8B71D86-4EA9-4258-9F3C-89EDD662F84E}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{653C0009-7F33-4CBD-9C70-D8BD6E22590D}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{E673461B-F65A-45D4-AE4A-FB032554F0C2}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{C246FDC9-9FBD-41DE-8077-5825526F3466}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{4AEDB5BA-236F-4F3B-AB6D-BCC0ED8CE183}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{CA3957BF-3CEE-4063-8E60-564D042DCDD3}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{B4A29F80-6C18-4FBF-B318-C06581EABD2A}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{4E505368-E80A-4831-9D5C-6E46298EB2F4}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{39CD8BC1-8619-4E7D-8BCE-BC5E070B2C41}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{6381CAE9-26CD-4DB4-8212-3428C0820DA8}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{A6F7FE1C-6126-4D5B-95D4-63712533013B}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{5912F527-1E73-4836-B985-22A34F45ECF1}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{51BAD8BE-FCBE-4B45-9C75-3CE55F16DC5B}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{62AB6778-B68A-4FA4-A1E6-50A20DE876D1}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{B0180BD4-E21A-441E-BB18-29842C3F8857}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{4B163678-5205-412F-A5D2-C8EB86FFC0DB}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{C7EBCEFA-F726-45E3-B926-D61C8218A1D7}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{C4DD855F-39A1-41BC-A43F-14E275486C1D}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{862FF0C8-252A-4140-8818-DE74122971E1}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{46EBD52A-6CC3-400B-BA14-419764A17F81}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{AE1240CC-62D9-4D4B-9F5E-19F38DDF474A}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{F7C16FA8-CF79-44FB-AC1A-D92F1274C5DD}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{30238596-B6A2-41B3-A08B-B2881B19BB27}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{F2A6724D-FEEB-4F63-8129-FDB210BF2F9B}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{98C4C32C-31BE-4D53-92DE-9FC98FE4AF59}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{6359D460-6D8A-496F-AD9E-F82FBCE2E320}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{411A8D0B-45B1-4497-9BCD-10CFB9B76F09}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{9B853904-7878-4FC1-A4DC-9B02E2D2B2B9}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{7EAA10B0-579B-4C1C-8641-F9D39C9D0E24}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{9723EFC1-BF89-45B3-83FE-C4E2388D43E7}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{F3080688-67E9-40DC-9161-CE92CB0A32DB}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{72870EEF-332F-4B6A-8D50-40C88ACF8BBC}</c15:txfldGUID>
                      <c15:f>Credit_2021Q4!$J$8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99A-4F0D-A746-4B05EEF06C28}"/>
                </c:ext>
              </c:extLst>
            </c:dLbl>
            <c:dLbl>
              <c:idx val="1"/>
              <c:tx>
                <c:strRef>
                  <c:f>Credit_2021Q4!$M$8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{17BD5BB9-743E-4043-A65A-C317E64549D5}</c15:txfldGUID>
                      <c15:f>Credit_2021Q4!$M$8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99A-4F0D-A746-4B05EEF06C28}"/>
                </c:ext>
              </c:extLst>
            </c:dLbl>
            <c:dLbl>
              <c:idx val="2"/>
              <c:tx>
                <c:strRef>
                  <c:f>Credit_2021Q4!$P$8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{2435B740-0800-44A9-8C2A-9DEB95631B85}</c15:txfldGUID>
                      <c15:f>Credit_2021Q4!$P$8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99A-4F0D-A746-4B05EEF06C28}"/>
                </c:ext>
              </c:extLst>
            </c:dLbl>
            <c:dLbl>
              <c:idx val="3"/>
              <c:tx>
                <c:strRef>
                  <c:f>Credit_2021Q4!$S$8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{44D08526-8815-43A1-80C8-BF8C76043E83}</c15:txfldGUID>
                      <c15:f>Credit_2021Q4!$S$8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99A-4F0D-A746-4B05EEF06C28}"/>
                </c:ext>
              </c:extLst>
            </c:dLbl>
            <c:dLbl>
              <c:idx val="4"/>
              <c:tx>
                <c:strRef>
                  <c:f>Credit_2021Q4!$V$8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{A8CD3DF2-3574-43DF-8516-ACA0361B8745}</c15:txfldGUID>
                      <c15:f>Credit_2021Q4!$V$8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(Credit_2021Q4!$Z$8,Credit_2021Q4!$L$8,Credit_2021Q4!$O$8,Credit_2021Q4!$R$8,Credit_2021Q4!$U$8)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9A-4F0D-A746-4B05EEF06C28}"/>
            </c:ext>
          </c:extLst>
        </c:ser>
        <c:ser>
          <c:idx val="1"/>
          <c:order val="1"/>
          <c:tx>
            <c:strRef>
              <c:f>Credit_2021Q4!$J$9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{A0626DF0-17E5-4F88-A5DF-844C457B9D01}</c15:txfldGUID>
                      <c15:f>Credit_2021Q4!$J$9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99A-4F0D-A746-4B05EEF06C28}"/>
                </c:ext>
              </c:extLst>
            </c:dLbl>
            <c:dLbl>
              <c:idx val="1"/>
              <c:tx>
                <c:strRef>
                  <c:f>Credit_2021Q4!$M$9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{89C9A939-7F44-431B-B924-B17E44856FB3}</c15:txfldGUID>
                      <c15:f>Credit_2021Q4!$M$9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99A-4F0D-A746-4B05EEF06C28}"/>
                </c:ext>
              </c:extLst>
            </c:dLbl>
            <c:dLbl>
              <c:idx val="2"/>
              <c:tx>
                <c:strRef>
                  <c:f>Credit_2021Q4!$P$9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{35A11FC0-551C-4E88-84C2-12F1F4FE2060}</c15:txfldGUID>
                      <c15:f>Credit_2021Q4!$P$9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99A-4F0D-A746-4B05EEF06C28}"/>
                </c:ext>
              </c:extLst>
            </c:dLbl>
            <c:dLbl>
              <c:idx val="3"/>
              <c:tx>
                <c:strRef>
                  <c:f>Credit_2021Q4!$S$9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{4241BAD9-2041-470D-A7A6-2D9BCFD8E502}</c15:txfldGUID>
                      <c15:f>Credit_2021Q4!$S$9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99A-4F0D-A746-4B05EEF06C28}"/>
                </c:ext>
              </c:extLst>
            </c:dLbl>
            <c:dLbl>
              <c:idx val="4"/>
              <c:tx>
                <c:strRef>
                  <c:f>Credit_2021Q4!$V$9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{BA96794C-EB06-485B-BE2B-34F350C7B6F5}</c15:txfldGUID>
                      <c15:f>Credit_2021Q4!$V$9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(Credit_2021Q4!$Z$9,Credit_2021Q4!$L$9,Credit_2021Q4!$O$9,Credit_2021Q4!$R$9,Credit_2021Q4!$U$9)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9A-4F0D-A746-4B05EEF06C28}"/>
            </c:ext>
          </c:extLst>
        </c:ser>
        <c:ser>
          <c:idx val="2"/>
          <c:order val="2"/>
          <c:tx>
            <c:strRef>
              <c:f>Credit_2021Q4!$J$10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{D94893E1-329D-4160-82D6-F26CE748A494}</c15:txfldGUID>
                      <c15:f>Credit_2021Q4!$J$10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99A-4F0D-A746-4B05EEF06C28}"/>
                </c:ext>
              </c:extLst>
            </c:dLbl>
            <c:dLbl>
              <c:idx val="1"/>
              <c:tx>
                <c:strRef>
                  <c:f>Credit_2021Q4!$M$10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{B59F4AE7-0C8F-43A7-A7D1-B000A6863444}</c15:txfldGUID>
                      <c15:f>Credit_2021Q4!$M$10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99A-4F0D-A746-4B05EEF06C28}"/>
                </c:ext>
              </c:extLst>
            </c:dLbl>
            <c:dLbl>
              <c:idx val="2"/>
              <c:tx>
                <c:strRef>
                  <c:f>Credit_2021Q4!$P$10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{BBCA868F-F9F9-418D-85CA-68F32D6897B6}</c15:txfldGUID>
                      <c15:f>Credit_2021Q4!$P$10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99A-4F0D-A746-4B05EEF06C28}"/>
                </c:ext>
              </c:extLst>
            </c:dLbl>
            <c:dLbl>
              <c:idx val="3"/>
              <c:tx>
                <c:strRef>
                  <c:f>Credit_2021Q4!$S$10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{66DB8702-2F1A-4A60-B911-6BEFB81BFE85}</c15:txfldGUID>
                      <c15:f>Credit_2021Q4!$S$10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99A-4F0D-A746-4B05EEF06C28}"/>
                </c:ext>
              </c:extLst>
            </c:dLbl>
            <c:dLbl>
              <c:idx val="4"/>
              <c:tx>
                <c:strRef>
                  <c:f>Credit_2021Q4!$V$10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{552979D9-AA69-4004-BEDE-7DE5EE181B43}</c15:txfldGUID>
                      <c15:f>Credit_2021Q4!$V$10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(Credit_2021Q4!$Z$10,Credit_2021Q4!$L$10,Credit_2021Q4!$O$10,Credit_2021Q4!$R$10,Credit_2021Q4!$U$10)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9A-4F0D-A746-4B05EEF06C28}"/>
            </c:ext>
          </c:extLst>
        </c:ser>
        <c:ser>
          <c:idx val="3"/>
          <c:order val="3"/>
          <c:tx>
            <c:strRef>
              <c:f>Credit_2021Q4!$J$11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{F4DE792F-6801-43D2-9815-42CC8B115F5E}</c15:txfldGUID>
                      <c15:f>Credit_2021Q4!$J$11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99A-4F0D-A746-4B05EEF06C28}"/>
                </c:ext>
              </c:extLst>
            </c:dLbl>
            <c:dLbl>
              <c:idx val="1"/>
              <c:tx>
                <c:strRef>
                  <c:f>Credit_2021Q4!$M$11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{3D02A41D-DDA7-4177-8AFF-0114E4064C97}</c15:txfldGUID>
                      <c15:f>Credit_2021Q4!$M$11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99A-4F0D-A746-4B05EEF06C28}"/>
                </c:ext>
              </c:extLst>
            </c:dLbl>
            <c:dLbl>
              <c:idx val="2"/>
              <c:tx>
                <c:strRef>
                  <c:f>Credit_2021Q4!$P$11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{98ED21BC-FC52-426A-AAE5-E73B98B46AF9}</c15:txfldGUID>
                      <c15:f>Credit_2021Q4!$P$11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99A-4F0D-A746-4B05EEF06C28}"/>
                </c:ext>
              </c:extLst>
            </c:dLbl>
            <c:dLbl>
              <c:idx val="3"/>
              <c:tx>
                <c:strRef>
                  <c:f>Credit_2021Q4!$S$11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{5AC1688D-9EB4-493E-9CFB-FB39E285235C}</c15:txfldGUID>
                      <c15:f>Credit_2021Q4!$S$11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99A-4F0D-A746-4B05EEF06C28}"/>
                </c:ext>
              </c:extLst>
            </c:dLbl>
            <c:dLbl>
              <c:idx val="4"/>
              <c:tx>
                <c:strRef>
                  <c:f>Credit_2021Q4!$V$11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{2A2FCCE7-20B0-45C7-BBB8-0499921A0F08}</c15:txfldGUID>
                      <c15:f>Credit_2021Q4!$V$11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(Credit_2021Q4!$Z$11,Credit_2021Q4!$L$11,Credit_2021Q4!$O$11,Credit_2021Q4!$R$11,Credit_2021Q4!$U$11)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9A-4F0D-A746-4B05EEF06C28}"/>
            </c:ext>
          </c:extLst>
        </c:ser>
        <c:ser>
          <c:idx val="4"/>
          <c:order val="4"/>
          <c:tx>
            <c:strRef>
              <c:f>Credit_2021Q4!$J$12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{D5E8C2A4-E0C7-42BC-8E03-1BF8DA3E20E5}</c15:txfldGUID>
                      <c15:f>Credit_2021Q4!$J$12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99A-4F0D-A746-4B05EEF06C28}"/>
                </c:ext>
              </c:extLst>
            </c:dLbl>
            <c:dLbl>
              <c:idx val="1"/>
              <c:tx>
                <c:strRef>
                  <c:f>Credit_2021Q4!$M$12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{F8FF0555-342A-44A5-B370-CED5E2C9FD3A}</c15:txfldGUID>
                      <c15:f>Credit_2021Q4!$M$12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99A-4F0D-A746-4B05EEF06C28}"/>
                </c:ext>
              </c:extLst>
            </c:dLbl>
            <c:dLbl>
              <c:idx val="2"/>
              <c:tx>
                <c:strRef>
                  <c:f>Credit_2021Q4!$P$12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{B2F5825E-4831-4887-AA92-1D49E154B6B0}</c15:txfldGUID>
                      <c15:f>Credit_2021Q4!$P$12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99A-4F0D-A746-4B05EEF06C28}"/>
                </c:ext>
              </c:extLst>
            </c:dLbl>
            <c:dLbl>
              <c:idx val="3"/>
              <c:tx>
                <c:strRef>
                  <c:f>Credit_2021Q4!$S$12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{857D1DA8-DCE1-4CB2-B47C-7FDB4F26AD6C}</c15:txfldGUID>
                      <c15:f>Credit_2021Q4!$S$12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99A-4F0D-A746-4B05EEF06C28}"/>
                </c:ext>
              </c:extLst>
            </c:dLbl>
            <c:dLbl>
              <c:idx val="4"/>
              <c:tx>
                <c:strRef>
                  <c:f>Credit_2021Q4!$V$12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{E6CDC6DF-54D5-4727-8444-27ECD2BC6B9C}</c15:txfldGUID>
                      <c15:f>Credit_2021Q4!$V$12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(Credit_2021Q4!$Z$12,Credit_2021Q4!$L$12,Credit_2021Q4!$O$12,Credit_2021Q4!$R$12,Credit_2021Q4!$U$12)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9A-4F0D-A746-4B05EEF06C28}"/>
            </c:ext>
          </c:extLst>
        </c:ser>
        <c:ser>
          <c:idx val="5"/>
          <c:order val="5"/>
          <c:tx>
            <c:strRef>
              <c:f>Credit_2021Q4!$J$13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{34A99200-9F20-4F04-8A11-FD015D21E33D}</c15:txfldGUID>
                      <c15:f>Credit_2021Q4!$J$13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99A-4F0D-A746-4B05EEF06C28}"/>
                </c:ext>
              </c:extLst>
            </c:dLbl>
            <c:dLbl>
              <c:idx val="1"/>
              <c:tx>
                <c:strRef>
                  <c:f>Credit_2021Q4!$M$13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{2D1F7656-83AA-47F5-ABB8-0BD9DB0D24D7}</c15:txfldGUID>
                      <c15:f>Credit_2021Q4!$M$13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99A-4F0D-A746-4B05EEF06C28}"/>
                </c:ext>
              </c:extLst>
            </c:dLbl>
            <c:dLbl>
              <c:idx val="2"/>
              <c:tx>
                <c:strRef>
                  <c:f>Credit_2021Q4!$P$13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{706E6249-AB8A-4AF8-BD70-F7D5AE48FA3A}</c15:txfldGUID>
                      <c15:f>Credit_2021Q4!$P$13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99A-4F0D-A746-4B05EEF06C28}"/>
                </c:ext>
              </c:extLst>
            </c:dLbl>
            <c:dLbl>
              <c:idx val="3"/>
              <c:tx>
                <c:strRef>
                  <c:f>Credit_2021Q4!$S$13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{F34272B6-8389-4993-94C4-6D99BF72010F}</c15:txfldGUID>
                      <c15:f>Credit_2021Q4!$S$13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99A-4F0D-A746-4B05EEF06C28}"/>
                </c:ext>
              </c:extLst>
            </c:dLbl>
            <c:dLbl>
              <c:idx val="4"/>
              <c:tx>
                <c:strRef>
                  <c:f>Credit_2021Q4!$V$13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{BF3597A4-C76D-4C1B-9243-B27E4C0EEFBC}</c15:txfldGUID>
                      <c15:f>Credit_2021Q4!$V$13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(Credit_2021Q4!$Z$13,Credit_2021Q4!$L$13,Credit_2021Q4!$O$13,Credit_2021Q4!$R$13,Credit_2021Q4!$U$13)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99A-4F0D-A746-4B05EEF0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F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30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31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32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33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34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35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6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7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8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6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CK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defaultRowHeight="13.2" outlineLevelRow="1" outlineLevelCol="1" x14ac:dyDescent="0.25"/>
  <cols>
    <col min="1" max="1" width="32.109375" customWidth="1" outlineLevel="1"/>
    <col min="2" max="49" width="8.33203125" customWidth="1"/>
  </cols>
  <sheetData>
    <row r="1" spans="2:2" ht="20.399999999999999" x14ac:dyDescent="0.35">
      <c r="B1" s="36" t="s">
        <v>0</v>
      </c>
    </row>
    <row r="24" spans="1:89" x14ac:dyDescent="0.25">
      <c r="B24" s="2" t="s">
        <v>1</v>
      </c>
    </row>
    <row r="25" spans="1:89" x14ac:dyDescent="0.25">
      <c r="B25" s="2" t="s">
        <v>2</v>
      </c>
    </row>
    <row r="26" spans="1:89" x14ac:dyDescent="0.25">
      <c r="B26" s="146" t="s">
        <v>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89" x14ac:dyDescent="0.2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89" s="11" customFormat="1" x14ac:dyDescent="0.25">
      <c r="B28" s="29" t="s">
        <v>4</v>
      </c>
      <c r="C28" s="29" t="s">
        <v>5</v>
      </c>
      <c r="D28" s="29" t="s">
        <v>6</v>
      </c>
      <c r="E28" s="29" t="s">
        <v>7</v>
      </c>
      <c r="F28" s="29" t="s">
        <v>8</v>
      </c>
      <c r="G28" s="29" t="s">
        <v>9</v>
      </c>
      <c r="H28" s="29" t="s">
        <v>10</v>
      </c>
      <c r="I28" s="29" t="s">
        <v>11</v>
      </c>
      <c r="J28" s="29" t="s">
        <v>12</v>
      </c>
      <c r="K28" s="29" t="s">
        <v>13</v>
      </c>
      <c r="L28" s="29" t="s">
        <v>14</v>
      </c>
      <c r="M28" s="29" t="s">
        <v>15</v>
      </c>
      <c r="N28" s="29" t="s">
        <v>16</v>
      </c>
      <c r="O28" s="29" t="s">
        <v>17</v>
      </c>
      <c r="P28" s="29" t="s">
        <v>18</v>
      </c>
      <c r="Q28" s="29" t="s">
        <v>19</v>
      </c>
      <c r="R28" s="29" t="s">
        <v>20</v>
      </c>
      <c r="S28" s="29" t="s">
        <v>21</v>
      </c>
      <c r="T28" s="29" t="s">
        <v>22</v>
      </c>
      <c r="U28" s="29" t="s">
        <v>23</v>
      </c>
      <c r="V28" s="29" t="s">
        <v>24</v>
      </c>
      <c r="W28" s="29" t="s">
        <v>25</v>
      </c>
      <c r="X28" s="29" t="s">
        <v>26</v>
      </c>
      <c r="Y28" s="29" t="s">
        <v>27</v>
      </c>
      <c r="Z28" s="29" t="s">
        <v>28</v>
      </c>
      <c r="AA28" s="29" t="s">
        <v>29</v>
      </c>
      <c r="AB28" s="29" t="s">
        <v>30</v>
      </c>
      <c r="AC28" s="29" t="s">
        <v>31</v>
      </c>
      <c r="AD28" s="29" t="s">
        <v>32</v>
      </c>
      <c r="AE28" s="29" t="s">
        <v>33</v>
      </c>
      <c r="AF28" s="29" t="s">
        <v>34</v>
      </c>
      <c r="AG28" s="29" t="s">
        <v>35</v>
      </c>
      <c r="AH28" s="29" t="s">
        <v>36</v>
      </c>
      <c r="AI28" s="29" t="s">
        <v>37</v>
      </c>
      <c r="AJ28" s="29" t="s">
        <v>38</v>
      </c>
      <c r="AK28" s="29" t="s">
        <v>39</v>
      </c>
      <c r="AL28" s="29" t="s">
        <v>40</v>
      </c>
      <c r="AM28" s="29" t="s">
        <v>41</v>
      </c>
      <c r="AN28" s="29" t="s">
        <v>42</v>
      </c>
      <c r="AO28" s="29" t="s">
        <v>43</v>
      </c>
      <c r="AP28" s="29" t="s">
        <v>44</v>
      </c>
      <c r="AQ28" s="29" t="s">
        <v>45</v>
      </c>
      <c r="AR28" s="29" t="s">
        <v>46</v>
      </c>
      <c r="AS28" s="29" t="s">
        <v>47</v>
      </c>
      <c r="AT28" s="29" t="s">
        <v>48</v>
      </c>
      <c r="AU28" s="29" t="s">
        <v>49</v>
      </c>
      <c r="AV28" s="29" t="s">
        <v>50</v>
      </c>
      <c r="AW28" s="29" t="s">
        <v>51</v>
      </c>
      <c r="AX28" s="29" t="s">
        <v>52</v>
      </c>
      <c r="AY28" s="29" t="s">
        <v>53</v>
      </c>
      <c r="AZ28" s="29" t="s">
        <v>54</v>
      </c>
      <c r="BA28" s="29" t="s">
        <v>55</v>
      </c>
      <c r="BB28" s="29" t="s">
        <v>56</v>
      </c>
      <c r="BC28" s="29" t="s">
        <v>57</v>
      </c>
      <c r="BD28" s="29" t="s">
        <v>58</v>
      </c>
      <c r="BE28" s="29" t="s">
        <v>59</v>
      </c>
      <c r="BF28" s="29" t="s">
        <v>60</v>
      </c>
      <c r="BG28" s="29" t="s">
        <v>61</v>
      </c>
      <c r="BH28" s="29" t="s">
        <v>62</v>
      </c>
      <c r="BI28" s="29" t="s">
        <v>63</v>
      </c>
      <c r="BJ28" s="29" t="s">
        <v>64</v>
      </c>
      <c r="BK28" s="29" t="s">
        <v>65</v>
      </c>
      <c r="BL28" s="29" t="s">
        <v>66</v>
      </c>
      <c r="BM28" s="29" t="s">
        <v>67</v>
      </c>
      <c r="BN28" s="29" t="s">
        <v>68</v>
      </c>
      <c r="BO28" s="29" t="s">
        <v>69</v>
      </c>
      <c r="BP28" s="29" t="s">
        <v>70</v>
      </c>
      <c r="BQ28" s="29" t="s">
        <v>71</v>
      </c>
      <c r="BR28" s="29" t="s">
        <v>72</v>
      </c>
      <c r="BS28" s="29" t="s">
        <v>73</v>
      </c>
      <c r="BT28" s="29" t="s">
        <v>74</v>
      </c>
      <c r="BU28" s="29" t="s">
        <v>75</v>
      </c>
      <c r="BV28" s="29" t="s">
        <v>76</v>
      </c>
      <c r="BW28" s="29" t="s">
        <v>77</v>
      </c>
      <c r="BX28" s="29" t="s">
        <v>78</v>
      </c>
      <c r="BY28" s="29" t="s">
        <v>79</v>
      </c>
      <c r="BZ28" s="29" t="s">
        <v>80</v>
      </c>
      <c r="CA28" s="29" t="s">
        <v>81</v>
      </c>
      <c r="CB28" s="29" t="s">
        <v>82</v>
      </c>
      <c r="CC28" s="29" t="s">
        <v>83</v>
      </c>
      <c r="CD28" s="29" t="s">
        <v>84</v>
      </c>
      <c r="CE28" s="29" t="s">
        <v>85</v>
      </c>
      <c r="CF28" s="29" t="s">
        <v>86</v>
      </c>
      <c r="CG28" s="29" t="s">
        <v>87</v>
      </c>
      <c r="CH28" s="29" t="s">
        <v>88</v>
      </c>
      <c r="CI28" s="29" t="s">
        <v>89</v>
      </c>
      <c r="CJ28" s="29" t="s">
        <v>90</v>
      </c>
      <c r="CK28" s="29" t="s">
        <v>91</v>
      </c>
    </row>
    <row r="29" spans="1:89" s="128" customFormat="1" x14ac:dyDescent="0.25">
      <c r="A29" s="125" t="s">
        <v>92</v>
      </c>
      <c r="B29" s="126">
        <v>3</v>
      </c>
      <c r="C29" s="126">
        <v>3</v>
      </c>
      <c r="D29" s="126">
        <v>1</v>
      </c>
      <c r="E29" s="126">
        <v>3</v>
      </c>
      <c r="F29" s="126">
        <v>1</v>
      </c>
      <c r="G29" s="126">
        <v>0</v>
      </c>
      <c r="H29" s="126">
        <v>1</v>
      </c>
      <c r="I29" s="126">
        <v>0</v>
      </c>
      <c r="J29" s="126">
        <v>1</v>
      </c>
      <c r="K29" s="126">
        <v>12</v>
      </c>
      <c r="L29" s="126">
        <v>5</v>
      </c>
      <c r="M29" s="126">
        <v>0</v>
      </c>
      <c r="N29" s="126">
        <v>3</v>
      </c>
      <c r="O29" s="126">
        <v>3</v>
      </c>
      <c r="P29" s="126">
        <v>3</v>
      </c>
      <c r="Q29" s="126">
        <v>7</v>
      </c>
      <c r="R29" s="126">
        <v>4</v>
      </c>
      <c r="S29" s="126">
        <v>1</v>
      </c>
      <c r="T29" s="126">
        <v>11</v>
      </c>
      <c r="U29" s="126">
        <v>2</v>
      </c>
      <c r="V29" s="126">
        <v>6</v>
      </c>
      <c r="W29" s="126">
        <v>5</v>
      </c>
      <c r="X29" s="126">
        <v>10</v>
      </c>
      <c r="Y29" s="126">
        <v>4</v>
      </c>
      <c r="Z29" s="126">
        <v>14</v>
      </c>
      <c r="AA29" s="126">
        <v>3</v>
      </c>
      <c r="AB29" s="126">
        <v>4</v>
      </c>
      <c r="AC29" s="126">
        <v>7</v>
      </c>
      <c r="AD29" s="127">
        <v>1</v>
      </c>
      <c r="AE29" s="126">
        <v>0</v>
      </c>
      <c r="AF29" s="126">
        <v>3</v>
      </c>
      <c r="AG29" s="126">
        <v>4</v>
      </c>
      <c r="AH29" s="126">
        <v>0</v>
      </c>
      <c r="AI29" s="126">
        <v>3</v>
      </c>
      <c r="AJ29" s="126">
        <v>1</v>
      </c>
      <c r="AK29" s="126">
        <v>2</v>
      </c>
      <c r="AL29" s="126">
        <v>1</v>
      </c>
      <c r="AM29" s="126">
        <v>4</v>
      </c>
      <c r="AN29" s="126">
        <v>2</v>
      </c>
      <c r="AO29" s="126">
        <v>0</v>
      </c>
      <c r="AP29" s="126">
        <v>3</v>
      </c>
      <c r="AQ29" s="126">
        <v>8</v>
      </c>
      <c r="AR29" s="126">
        <v>2</v>
      </c>
      <c r="AS29" s="126">
        <v>1</v>
      </c>
      <c r="AT29" s="126">
        <v>2</v>
      </c>
      <c r="AU29" s="126">
        <v>8</v>
      </c>
      <c r="AV29" s="126">
        <v>2</v>
      </c>
      <c r="AW29" s="126">
        <v>1</v>
      </c>
      <c r="AX29" s="126">
        <v>0</v>
      </c>
      <c r="AY29" s="126">
        <v>6</v>
      </c>
      <c r="AZ29" s="126">
        <v>0</v>
      </c>
      <c r="BA29" s="126">
        <v>4</v>
      </c>
      <c r="BB29" s="126">
        <v>4</v>
      </c>
      <c r="BC29" s="126">
        <v>4</v>
      </c>
      <c r="BD29" s="126">
        <v>1</v>
      </c>
      <c r="BE29" s="126">
        <v>3</v>
      </c>
      <c r="BF29" s="126">
        <v>0</v>
      </c>
      <c r="BG29" s="126">
        <v>4</v>
      </c>
      <c r="BH29" s="126">
        <v>0</v>
      </c>
      <c r="BI29" s="126">
        <v>2</v>
      </c>
      <c r="BJ29" s="126">
        <v>5</v>
      </c>
      <c r="BK29" s="126">
        <v>4</v>
      </c>
      <c r="BL29" s="126">
        <v>3</v>
      </c>
      <c r="BM29" s="126">
        <v>1</v>
      </c>
      <c r="BN29" s="126">
        <v>2</v>
      </c>
      <c r="BO29" s="126">
        <v>1</v>
      </c>
      <c r="BP29" s="126">
        <v>5</v>
      </c>
      <c r="BQ29" s="126">
        <v>3</v>
      </c>
      <c r="BR29" s="126">
        <v>1</v>
      </c>
      <c r="BS29" s="126">
        <v>2</v>
      </c>
      <c r="BT29" s="126">
        <v>1</v>
      </c>
      <c r="BU29" s="126">
        <v>8</v>
      </c>
      <c r="BV29" s="126">
        <v>3</v>
      </c>
      <c r="BW29" s="126">
        <v>7</v>
      </c>
      <c r="BX29" s="126">
        <v>3</v>
      </c>
      <c r="BY29" s="126">
        <v>13</v>
      </c>
      <c r="BZ29" s="126">
        <v>0</v>
      </c>
      <c r="CA29" s="126">
        <v>4</v>
      </c>
      <c r="CB29" s="126">
        <v>1</v>
      </c>
      <c r="CC29" s="126">
        <v>0</v>
      </c>
      <c r="CD29" s="126">
        <v>0</v>
      </c>
      <c r="CE29" s="126">
        <v>0</v>
      </c>
      <c r="CF29" s="126">
        <v>1</v>
      </c>
      <c r="CG29" s="126">
        <v>1</v>
      </c>
      <c r="CH29" s="126">
        <v>4</v>
      </c>
      <c r="CI29" s="126">
        <v>0</v>
      </c>
      <c r="CJ29" s="126"/>
      <c r="CK29" s="126"/>
    </row>
    <row r="30" spans="1:89" s="132" customFormat="1" x14ac:dyDescent="0.25">
      <c r="A30" s="129" t="s">
        <v>93</v>
      </c>
      <c r="B30" s="130">
        <v>-14</v>
      </c>
      <c r="C30" s="130">
        <v>-6</v>
      </c>
      <c r="D30" s="130">
        <v>-1</v>
      </c>
      <c r="E30" s="130">
        <v>-7</v>
      </c>
      <c r="F30" s="130">
        <v>-3</v>
      </c>
      <c r="G30" s="130">
        <v>-14</v>
      </c>
      <c r="H30" s="130">
        <v>-32</v>
      </c>
      <c r="I30" s="130">
        <v>-6</v>
      </c>
      <c r="J30" s="130">
        <v>-19</v>
      </c>
      <c r="K30" s="130">
        <v>-10</v>
      </c>
      <c r="L30" s="130">
        <v>-9</v>
      </c>
      <c r="M30" s="130">
        <v>-6</v>
      </c>
      <c r="N30" s="130">
        <v>-2</v>
      </c>
      <c r="O30" s="130">
        <v>-9</v>
      </c>
      <c r="P30" s="130">
        <v>-5</v>
      </c>
      <c r="Q30" s="130">
        <v>-2</v>
      </c>
      <c r="R30" s="130">
        <v>-2</v>
      </c>
      <c r="S30" s="130">
        <v>-1</v>
      </c>
      <c r="T30" s="130">
        <v>-1</v>
      </c>
      <c r="U30" s="130">
        <v>0</v>
      </c>
      <c r="V30" s="130">
        <v>-3</v>
      </c>
      <c r="W30" s="130">
        <v>-2</v>
      </c>
      <c r="X30" s="130">
        <v>-1</v>
      </c>
      <c r="Y30" s="130">
        <v>0</v>
      </c>
      <c r="Z30" s="130">
        <v>-4</v>
      </c>
      <c r="AA30" s="130">
        <v>-6</v>
      </c>
      <c r="AB30" s="130">
        <v>-1</v>
      </c>
      <c r="AC30" s="130">
        <v>-2</v>
      </c>
      <c r="AD30" s="131">
        <v>-8</v>
      </c>
      <c r="AE30" s="130">
        <v>0</v>
      </c>
      <c r="AF30" s="130">
        <v>-1</v>
      </c>
      <c r="AG30" s="130">
        <v>0</v>
      </c>
      <c r="AH30" s="130">
        <v>-3</v>
      </c>
      <c r="AI30" s="130">
        <v>-2</v>
      </c>
      <c r="AJ30" s="130">
        <v>-3</v>
      </c>
      <c r="AK30" s="130">
        <v>0</v>
      </c>
      <c r="AL30" s="130">
        <v>-2</v>
      </c>
      <c r="AM30" s="130">
        <v>-7</v>
      </c>
      <c r="AN30" s="130">
        <v>-5</v>
      </c>
      <c r="AO30" s="130">
        <v>-3</v>
      </c>
      <c r="AP30" s="130">
        <v>0</v>
      </c>
      <c r="AQ30" s="130">
        <v>-6</v>
      </c>
      <c r="AR30" s="130">
        <v>-1</v>
      </c>
      <c r="AS30" s="130">
        <v>-4</v>
      </c>
      <c r="AT30" s="130">
        <v>-3</v>
      </c>
      <c r="AU30" s="130">
        <v>-5</v>
      </c>
      <c r="AV30" s="130">
        <v>-1</v>
      </c>
      <c r="AW30" s="130">
        <v>-4</v>
      </c>
      <c r="AX30" s="130">
        <v>-4</v>
      </c>
      <c r="AY30" s="130">
        <v>0</v>
      </c>
      <c r="AZ30" s="130">
        <v>-8</v>
      </c>
      <c r="BA30" s="130">
        <v>-1</v>
      </c>
      <c r="BB30" s="130">
        <v>0</v>
      </c>
      <c r="BC30" s="130">
        <v>-2</v>
      </c>
      <c r="BD30" s="130">
        <v>0</v>
      </c>
      <c r="BE30" s="130">
        <v>0</v>
      </c>
      <c r="BF30" s="130">
        <v>0</v>
      </c>
      <c r="BG30" s="130">
        <v>-5</v>
      </c>
      <c r="BH30" s="130">
        <v>0</v>
      </c>
      <c r="BI30" s="130">
        <v>0</v>
      </c>
      <c r="BJ30" s="130">
        <v>-1</v>
      </c>
      <c r="BK30" s="130">
        <v>-2</v>
      </c>
      <c r="BL30" s="130">
        <v>0</v>
      </c>
      <c r="BM30" s="130">
        <v>0</v>
      </c>
      <c r="BN30" s="130">
        <v>0</v>
      </c>
      <c r="BO30" s="130">
        <v>0</v>
      </c>
      <c r="BP30" s="130">
        <v>-4</v>
      </c>
      <c r="BQ30" s="130">
        <v>0</v>
      </c>
      <c r="BR30" s="130">
        <v>-5</v>
      </c>
      <c r="BS30" s="130">
        <v>-3</v>
      </c>
      <c r="BT30" s="130">
        <v>-11</v>
      </c>
      <c r="BU30" s="130">
        <v>-2</v>
      </c>
      <c r="BV30" s="130">
        <v>-7</v>
      </c>
      <c r="BW30" s="130">
        <v>0</v>
      </c>
      <c r="BX30" s="130">
        <v>0</v>
      </c>
      <c r="BY30" s="130">
        <v>-3</v>
      </c>
      <c r="BZ30" s="130">
        <v>-1</v>
      </c>
      <c r="CA30" s="130">
        <v>-2</v>
      </c>
      <c r="CB30" s="130">
        <v>0</v>
      </c>
      <c r="CC30" s="130">
        <v>-16</v>
      </c>
      <c r="CD30" s="130">
        <v>0</v>
      </c>
      <c r="CE30" s="130">
        <v>-1</v>
      </c>
      <c r="CF30" s="130">
        <v>0</v>
      </c>
      <c r="CG30" s="130">
        <v>-3</v>
      </c>
      <c r="CH30" s="130">
        <v>-3</v>
      </c>
      <c r="CI30" s="130">
        <v>0</v>
      </c>
      <c r="CJ30" s="130"/>
      <c r="CK30" s="130"/>
    </row>
    <row r="31" spans="1:89" s="128" customFormat="1" x14ac:dyDescent="0.25">
      <c r="A31" s="125" t="s">
        <v>94</v>
      </c>
      <c r="B31" s="126">
        <v>14</v>
      </c>
      <c r="C31" s="126">
        <v>4</v>
      </c>
      <c r="D31" s="126">
        <v>0</v>
      </c>
      <c r="E31" s="126">
        <v>9</v>
      </c>
      <c r="F31" s="126">
        <v>3</v>
      </c>
      <c r="G31" s="126">
        <v>0</v>
      </c>
      <c r="H31" s="126">
        <v>2</v>
      </c>
      <c r="I31" s="126">
        <v>0</v>
      </c>
      <c r="J31" s="126">
        <v>0</v>
      </c>
      <c r="K31" s="126">
        <v>2</v>
      </c>
      <c r="L31" s="126">
        <v>1</v>
      </c>
      <c r="M31" s="126">
        <v>8</v>
      </c>
      <c r="N31" s="126">
        <v>3</v>
      </c>
      <c r="O31" s="126">
        <v>4</v>
      </c>
      <c r="P31" s="126">
        <v>9</v>
      </c>
      <c r="Q31" s="126">
        <v>4</v>
      </c>
      <c r="R31" s="126">
        <v>12</v>
      </c>
      <c r="S31" s="126">
        <v>11</v>
      </c>
      <c r="T31" s="126">
        <v>8</v>
      </c>
      <c r="U31" s="126">
        <v>0</v>
      </c>
      <c r="V31" s="126">
        <v>5</v>
      </c>
      <c r="W31" s="126">
        <v>12</v>
      </c>
      <c r="X31" s="126">
        <v>3</v>
      </c>
      <c r="Y31" s="126">
        <v>2</v>
      </c>
      <c r="Z31" s="126">
        <v>1</v>
      </c>
      <c r="AA31" s="126">
        <v>4</v>
      </c>
      <c r="AB31" s="126">
        <v>4</v>
      </c>
      <c r="AC31" s="126">
        <v>10</v>
      </c>
      <c r="AD31" s="127">
        <v>1</v>
      </c>
      <c r="AE31" s="126">
        <v>1</v>
      </c>
      <c r="AF31" s="126">
        <v>0</v>
      </c>
      <c r="AG31" s="126">
        <v>1</v>
      </c>
      <c r="AH31" s="126">
        <v>0</v>
      </c>
      <c r="AI31" s="126">
        <v>2</v>
      </c>
      <c r="AJ31" s="126">
        <v>3</v>
      </c>
      <c r="AK31" s="126">
        <v>0</v>
      </c>
      <c r="AL31" s="126">
        <v>0</v>
      </c>
      <c r="AM31" s="126">
        <v>2</v>
      </c>
      <c r="AN31" s="126">
        <v>4</v>
      </c>
      <c r="AO31" s="126">
        <v>1</v>
      </c>
      <c r="AP31" s="126">
        <v>3</v>
      </c>
      <c r="AQ31" s="126">
        <v>4</v>
      </c>
      <c r="AR31" s="126">
        <v>0</v>
      </c>
      <c r="AS31" s="126">
        <v>0</v>
      </c>
      <c r="AT31" s="126">
        <v>5</v>
      </c>
      <c r="AU31" s="126">
        <v>9</v>
      </c>
      <c r="AV31" s="126">
        <v>0</v>
      </c>
      <c r="AW31" s="126">
        <v>0</v>
      </c>
      <c r="AX31" s="126">
        <v>1</v>
      </c>
      <c r="AY31" s="126">
        <v>4</v>
      </c>
      <c r="AZ31" s="126">
        <v>8</v>
      </c>
      <c r="BA31" s="126">
        <v>0</v>
      </c>
      <c r="BB31" s="126">
        <v>78</v>
      </c>
      <c r="BC31" s="126">
        <v>2</v>
      </c>
      <c r="BD31" s="126">
        <v>5</v>
      </c>
      <c r="BE31" s="126">
        <v>0</v>
      </c>
      <c r="BF31" s="126">
        <v>2</v>
      </c>
      <c r="BG31" s="126">
        <v>4</v>
      </c>
      <c r="BH31" s="126">
        <v>1</v>
      </c>
      <c r="BI31" s="126">
        <v>2</v>
      </c>
      <c r="BJ31" s="126">
        <v>2</v>
      </c>
      <c r="BK31" s="126">
        <v>2</v>
      </c>
      <c r="BL31" s="126">
        <v>1</v>
      </c>
      <c r="BM31" s="126">
        <v>0</v>
      </c>
      <c r="BN31" s="126">
        <v>4</v>
      </c>
      <c r="BO31" s="126">
        <v>3</v>
      </c>
      <c r="BP31" s="126">
        <v>3</v>
      </c>
      <c r="BQ31" s="126">
        <v>0</v>
      </c>
      <c r="BR31" s="126">
        <v>0</v>
      </c>
      <c r="BS31" s="126">
        <v>2</v>
      </c>
      <c r="BT31" s="126">
        <v>0</v>
      </c>
      <c r="BU31" s="126">
        <v>1</v>
      </c>
      <c r="BV31" s="126">
        <v>2</v>
      </c>
      <c r="BW31" s="126">
        <v>2</v>
      </c>
      <c r="BX31" s="126">
        <v>5</v>
      </c>
      <c r="BY31" s="126">
        <v>0</v>
      </c>
      <c r="BZ31" s="126">
        <v>1</v>
      </c>
      <c r="CA31" s="126">
        <v>1</v>
      </c>
      <c r="CB31" s="126">
        <v>2</v>
      </c>
      <c r="CC31" s="126">
        <v>1</v>
      </c>
      <c r="CD31" s="126">
        <v>2</v>
      </c>
      <c r="CE31" s="126">
        <v>1</v>
      </c>
      <c r="CF31" s="126">
        <v>0</v>
      </c>
      <c r="CG31" s="126">
        <v>0</v>
      </c>
      <c r="CH31" s="126">
        <v>1</v>
      </c>
      <c r="CI31" s="126">
        <v>2</v>
      </c>
      <c r="CJ31" s="126"/>
      <c r="CK31" s="126"/>
    </row>
    <row r="32" spans="1:89" s="132" customFormat="1" x14ac:dyDescent="0.25">
      <c r="A32" s="129" t="s">
        <v>95</v>
      </c>
      <c r="B32" s="130">
        <v>-21</v>
      </c>
      <c r="C32" s="130">
        <v>-8</v>
      </c>
      <c r="D32" s="130">
        <v>0</v>
      </c>
      <c r="E32" s="130">
        <v>-12</v>
      </c>
      <c r="F32" s="130">
        <v>-7</v>
      </c>
      <c r="G32" s="130">
        <v>-20</v>
      </c>
      <c r="H32" s="130">
        <v>-27</v>
      </c>
      <c r="I32" s="130">
        <v>-59</v>
      </c>
      <c r="J32" s="130">
        <v>-25</v>
      </c>
      <c r="K32" s="130">
        <v>-21</v>
      </c>
      <c r="L32" s="130">
        <v>-11</v>
      </c>
      <c r="M32" s="130">
        <v>-11</v>
      </c>
      <c r="N32" s="130">
        <v>-11</v>
      </c>
      <c r="O32" s="130">
        <v>-6</v>
      </c>
      <c r="P32" s="130">
        <v>-3</v>
      </c>
      <c r="Q32" s="130">
        <v>-2</v>
      </c>
      <c r="R32" s="130">
        <v>-6</v>
      </c>
      <c r="S32" s="130">
        <v>0</v>
      </c>
      <c r="T32" s="130">
        <v>-3</v>
      </c>
      <c r="U32" s="130">
        <v>-6</v>
      </c>
      <c r="V32" s="130">
        <v>-2</v>
      </c>
      <c r="W32" s="130">
        <v>-4</v>
      </c>
      <c r="X32" s="130">
        <v>-11</v>
      </c>
      <c r="Y32" s="130">
        <v>0</v>
      </c>
      <c r="Z32" s="130">
        <v>-9</v>
      </c>
      <c r="AA32" s="130">
        <v>-1</v>
      </c>
      <c r="AB32" s="130">
        <v>0</v>
      </c>
      <c r="AC32" s="130">
        <v>-3</v>
      </c>
      <c r="AD32" s="131">
        <v>0</v>
      </c>
      <c r="AE32" s="130">
        <v>-2</v>
      </c>
      <c r="AF32" s="130">
        <v>-1</v>
      </c>
      <c r="AG32" s="130">
        <v>0</v>
      </c>
      <c r="AH32" s="130">
        <v>-2</v>
      </c>
      <c r="AI32" s="130">
        <v>-9</v>
      </c>
      <c r="AJ32" s="130">
        <v>-5</v>
      </c>
      <c r="AK32" s="130">
        <v>-2</v>
      </c>
      <c r="AL32" s="130">
        <v>-2</v>
      </c>
      <c r="AM32" s="130">
        <v>-5</v>
      </c>
      <c r="AN32" s="130">
        <v>-3</v>
      </c>
      <c r="AO32" s="130">
        <v>-3</v>
      </c>
      <c r="AP32" s="130">
        <v>0</v>
      </c>
      <c r="AQ32" s="130">
        <v>0</v>
      </c>
      <c r="AR32" s="130">
        <v>-3</v>
      </c>
      <c r="AS32" s="130">
        <v>-1</v>
      </c>
      <c r="AT32" s="130">
        <v>-2</v>
      </c>
      <c r="AU32" s="130">
        <v>-2</v>
      </c>
      <c r="AV32" s="130">
        <v>-1</v>
      </c>
      <c r="AW32" s="130">
        <v>-1</v>
      </c>
      <c r="AX32" s="130">
        <v>-1</v>
      </c>
      <c r="AY32" s="130">
        <v>-1</v>
      </c>
      <c r="AZ32" s="130">
        <v>-2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-1</v>
      </c>
      <c r="BH32" s="130">
        <v>-1</v>
      </c>
      <c r="BI32" s="130">
        <v>-1</v>
      </c>
      <c r="BJ32" s="130">
        <v>-2</v>
      </c>
      <c r="BK32" s="130">
        <v>0</v>
      </c>
      <c r="BL32" s="130">
        <v>-5</v>
      </c>
      <c r="BM32" s="130">
        <v>-1</v>
      </c>
      <c r="BN32" s="130">
        <v>0</v>
      </c>
      <c r="BO32" s="130">
        <v>0</v>
      </c>
      <c r="BP32" s="130">
        <v>-2</v>
      </c>
      <c r="BQ32" s="130">
        <v>0</v>
      </c>
      <c r="BR32" s="130">
        <v>-4</v>
      </c>
      <c r="BS32" s="130">
        <v>0</v>
      </c>
      <c r="BT32" s="130">
        <v>-9</v>
      </c>
      <c r="BU32" s="130">
        <v>-7</v>
      </c>
      <c r="BV32" s="130">
        <v>-6</v>
      </c>
      <c r="BW32" s="130">
        <v>-2</v>
      </c>
      <c r="BX32" s="130">
        <v>-1</v>
      </c>
      <c r="BY32" s="130">
        <v>-2</v>
      </c>
      <c r="BZ32" s="130">
        <v>-3</v>
      </c>
      <c r="CA32" s="130">
        <v>-1</v>
      </c>
      <c r="CB32" s="130">
        <v>-2</v>
      </c>
      <c r="CC32" s="130">
        <v>-1</v>
      </c>
      <c r="CD32" s="130">
        <v>-3</v>
      </c>
      <c r="CE32" s="130">
        <v>0</v>
      </c>
      <c r="CF32" s="130">
        <v>-3</v>
      </c>
      <c r="CG32" s="130">
        <v>-3</v>
      </c>
      <c r="CH32" s="130">
        <v>0</v>
      </c>
      <c r="CI32" s="130">
        <v>0</v>
      </c>
      <c r="CJ32" s="130"/>
      <c r="CK32" s="130"/>
    </row>
    <row r="33" spans="1:89" s="128" customFormat="1" x14ac:dyDescent="0.25">
      <c r="A33" s="125" t="s">
        <v>96</v>
      </c>
      <c r="B33" s="126">
        <v>6</v>
      </c>
      <c r="C33" s="126">
        <v>7</v>
      </c>
      <c r="D33" s="126">
        <v>5</v>
      </c>
      <c r="E33" s="126">
        <v>2</v>
      </c>
      <c r="F33" s="126">
        <v>2</v>
      </c>
      <c r="G33" s="126">
        <v>2</v>
      </c>
      <c r="H33" s="126">
        <v>9</v>
      </c>
      <c r="I33" s="126">
        <v>1</v>
      </c>
      <c r="J33" s="126">
        <v>3</v>
      </c>
      <c r="K33" s="126">
        <v>1</v>
      </c>
      <c r="L33" s="126">
        <v>0</v>
      </c>
      <c r="M33" s="126">
        <v>2</v>
      </c>
      <c r="N33" s="126">
        <v>2</v>
      </c>
      <c r="O33" s="126">
        <v>1</v>
      </c>
      <c r="P33" s="126">
        <v>9</v>
      </c>
      <c r="Q33" s="126">
        <v>3</v>
      </c>
      <c r="R33" s="126">
        <v>7</v>
      </c>
      <c r="S33" s="126">
        <v>8</v>
      </c>
      <c r="T33" s="126">
        <v>1</v>
      </c>
      <c r="U33" s="126">
        <v>8</v>
      </c>
      <c r="V33" s="126">
        <v>7</v>
      </c>
      <c r="W33" s="126">
        <v>7</v>
      </c>
      <c r="X33" s="126">
        <v>6</v>
      </c>
      <c r="Y33" s="126">
        <v>0</v>
      </c>
      <c r="Z33" s="126">
        <v>7</v>
      </c>
      <c r="AA33" s="126">
        <v>16</v>
      </c>
      <c r="AB33" s="126">
        <v>0</v>
      </c>
      <c r="AC33" s="126">
        <v>3</v>
      </c>
      <c r="AD33" s="127">
        <v>3</v>
      </c>
      <c r="AE33" s="126">
        <v>3</v>
      </c>
      <c r="AF33" s="126">
        <v>6</v>
      </c>
      <c r="AG33" s="126">
        <v>1</v>
      </c>
      <c r="AH33" s="126">
        <v>1</v>
      </c>
      <c r="AI33" s="126">
        <v>5</v>
      </c>
      <c r="AJ33" s="126">
        <v>3</v>
      </c>
      <c r="AK33" s="126">
        <v>3</v>
      </c>
      <c r="AL33" s="126">
        <v>0</v>
      </c>
      <c r="AM33" s="126">
        <v>6</v>
      </c>
      <c r="AN33" s="126">
        <v>5</v>
      </c>
      <c r="AO33" s="126">
        <v>4</v>
      </c>
      <c r="AP33" s="126">
        <v>5</v>
      </c>
      <c r="AQ33" s="126">
        <v>9</v>
      </c>
      <c r="AR33" s="126">
        <v>2</v>
      </c>
      <c r="AS33" s="126">
        <v>2</v>
      </c>
      <c r="AT33" s="126">
        <v>1</v>
      </c>
      <c r="AU33" s="126">
        <v>7</v>
      </c>
      <c r="AV33" s="126">
        <v>0</v>
      </c>
      <c r="AW33" s="126">
        <v>2</v>
      </c>
      <c r="AX33" s="126">
        <v>13</v>
      </c>
      <c r="AY33" s="126">
        <v>10</v>
      </c>
      <c r="AZ33" s="126">
        <v>6</v>
      </c>
      <c r="BA33" s="126">
        <v>8</v>
      </c>
      <c r="BB33" s="126">
        <v>0</v>
      </c>
      <c r="BC33" s="126">
        <v>4</v>
      </c>
      <c r="BD33" s="126">
        <v>0</v>
      </c>
      <c r="BE33" s="126">
        <v>2</v>
      </c>
      <c r="BF33" s="126">
        <v>0</v>
      </c>
      <c r="BG33" s="126">
        <v>18</v>
      </c>
      <c r="BH33" s="126">
        <v>0</v>
      </c>
      <c r="BI33" s="126">
        <v>2</v>
      </c>
      <c r="BJ33" s="126">
        <v>6</v>
      </c>
      <c r="BK33" s="126">
        <v>6</v>
      </c>
      <c r="BL33" s="126">
        <v>19</v>
      </c>
      <c r="BM33" s="126">
        <v>0</v>
      </c>
      <c r="BN33" s="126">
        <v>7</v>
      </c>
      <c r="BO33" s="126">
        <v>3</v>
      </c>
      <c r="BP33" s="126">
        <v>0</v>
      </c>
      <c r="BQ33" s="126">
        <v>7</v>
      </c>
      <c r="BR33" s="126">
        <v>5</v>
      </c>
      <c r="BS33" s="126">
        <v>2</v>
      </c>
      <c r="BT33" s="126">
        <v>16</v>
      </c>
      <c r="BU33" s="126">
        <v>3</v>
      </c>
      <c r="BV33" s="126">
        <v>9</v>
      </c>
      <c r="BW33" s="126">
        <v>1</v>
      </c>
      <c r="BX33" s="126">
        <v>4</v>
      </c>
      <c r="BY33" s="126">
        <v>6</v>
      </c>
      <c r="BZ33" s="126">
        <v>0</v>
      </c>
      <c r="CA33" s="126">
        <v>0</v>
      </c>
      <c r="CB33" s="126">
        <v>0</v>
      </c>
      <c r="CC33" s="126">
        <v>2</v>
      </c>
      <c r="CD33" s="126">
        <v>1</v>
      </c>
      <c r="CE33" s="126">
        <v>0</v>
      </c>
      <c r="CF33" s="126">
        <v>0</v>
      </c>
      <c r="CG33" s="126">
        <v>14</v>
      </c>
      <c r="CH33" s="126">
        <v>0</v>
      </c>
      <c r="CI33" s="126">
        <v>2</v>
      </c>
      <c r="CJ33" s="126"/>
      <c r="CK33" s="126"/>
    </row>
    <row r="34" spans="1:89" s="132" customFormat="1" x14ac:dyDescent="0.25">
      <c r="A34" s="129" t="s">
        <v>97</v>
      </c>
      <c r="B34" s="130">
        <v>-24</v>
      </c>
      <c r="C34" s="130">
        <v>-7</v>
      </c>
      <c r="D34" s="130">
        <v>-12</v>
      </c>
      <c r="E34" s="130">
        <v>-38</v>
      </c>
      <c r="F34" s="130">
        <v>-24</v>
      </c>
      <c r="G34" s="130">
        <v>-33</v>
      </c>
      <c r="H34" s="130">
        <v>-32</v>
      </c>
      <c r="I34" s="130">
        <v>-22</v>
      </c>
      <c r="J34" s="130">
        <v>-44</v>
      </c>
      <c r="K34" s="130">
        <v>-24</v>
      </c>
      <c r="L34" s="130">
        <v>-18</v>
      </c>
      <c r="M34" s="130">
        <v>-20</v>
      </c>
      <c r="N34" s="130">
        <v>-6</v>
      </c>
      <c r="O34" s="130">
        <v>-4</v>
      </c>
      <c r="P34" s="130">
        <v>-2</v>
      </c>
      <c r="Q34" s="130">
        <v>-7</v>
      </c>
      <c r="R34" s="130">
        <v>-1</v>
      </c>
      <c r="S34" s="130">
        <v>-9</v>
      </c>
      <c r="T34" s="130">
        <v>-3</v>
      </c>
      <c r="U34" s="130">
        <v>-16</v>
      </c>
      <c r="V34" s="130">
        <v>-2</v>
      </c>
      <c r="W34" s="130">
        <v>-4</v>
      </c>
      <c r="X34" s="130">
        <v>-6</v>
      </c>
      <c r="Y34" s="130">
        <v>-8</v>
      </c>
      <c r="Z34" s="130">
        <v>-4</v>
      </c>
      <c r="AA34" s="130">
        <v>-11</v>
      </c>
      <c r="AB34" s="130">
        <v>-1</v>
      </c>
      <c r="AC34" s="130">
        <v>-6</v>
      </c>
      <c r="AD34" s="131">
        <v>-5</v>
      </c>
      <c r="AE34" s="130">
        <v>-3</v>
      </c>
      <c r="AF34" s="130">
        <v>-3</v>
      </c>
      <c r="AG34" s="130">
        <v>-3</v>
      </c>
      <c r="AH34" s="130">
        <v>-4</v>
      </c>
      <c r="AI34" s="130">
        <v>-3</v>
      </c>
      <c r="AJ34" s="130">
        <v>0</v>
      </c>
      <c r="AK34" s="130">
        <v>-1</v>
      </c>
      <c r="AL34" s="130">
        <v>-13</v>
      </c>
      <c r="AM34" s="130">
        <v>-2</v>
      </c>
      <c r="AN34" s="130">
        <v>0</v>
      </c>
      <c r="AO34" s="130">
        <v>-6</v>
      </c>
      <c r="AP34" s="130">
        <v>0</v>
      </c>
      <c r="AQ34" s="130">
        <v>-2</v>
      </c>
      <c r="AR34" s="130">
        <v>0</v>
      </c>
      <c r="AS34" s="130">
        <v>-4</v>
      </c>
      <c r="AT34" s="130">
        <v>-3</v>
      </c>
      <c r="AU34" s="130">
        <v>-4</v>
      </c>
      <c r="AV34" s="130">
        <v>-5</v>
      </c>
      <c r="AW34" s="130">
        <v>-8</v>
      </c>
      <c r="AX34" s="130">
        <v>0</v>
      </c>
      <c r="AY34" s="130">
        <v>0</v>
      </c>
      <c r="AZ34" s="130">
        <v>0</v>
      </c>
      <c r="BA34" s="130">
        <v>-3</v>
      </c>
      <c r="BB34" s="130">
        <v>0</v>
      </c>
      <c r="BC34" s="130">
        <v>-1</v>
      </c>
      <c r="BD34" s="130">
        <v>0</v>
      </c>
      <c r="BE34" s="130">
        <v>0</v>
      </c>
      <c r="BF34" s="130">
        <v>0</v>
      </c>
      <c r="BG34" s="130">
        <v>-1</v>
      </c>
      <c r="BH34" s="130">
        <v>-5</v>
      </c>
      <c r="BI34" s="130">
        <v>-1</v>
      </c>
      <c r="BJ34" s="130">
        <v>-2</v>
      </c>
      <c r="BK34" s="130">
        <v>-1</v>
      </c>
      <c r="BL34" s="130">
        <v>-3</v>
      </c>
      <c r="BM34" s="130">
        <v>-1</v>
      </c>
      <c r="BN34" s="130">
        <v>-4</v>
      </c>
      <c r="BO34" s="130">
        <v>-1</v>
      </c>
      <c r="BP34" s="130">
        <v>-3</v>
      </c>
      <c r="BQ34" s="130">
        <v>0</v>
      </c>
      <c r="BR34" s="130">
        <v>-2</v>
      </c>
      <c r="BS34" s="130">
        <v>-4</v>
      </c>
      <c r="BT34" s="130">
        <v>-3</v>
      </c>
      <c r="BU34" s="130">
        <v>-2</v>
      </c>
      <c r="BV34" s="130">
        <v>-8</v>
      </c>
      <c r="BW34" s="130">
        <v>0</v>
      </c>
      <c r="BX34" s="130">
        <v>-4</v>
      </c>
      <c r="BY34" s="130">
        <v>-2</v>
      </c>
      <c r="BZ34" s="130">
        <v>0</v>
      </c>
      <c r="CA34" s="130">
        <v>-3</v>
      </c>
      <c r="CB34" s="130">
        <v>-2</v>
      </c>
      <c r="CC34" s="130">
        <v>-16</v>
      </c>
      <c r="CD34" s="130">
        <v>-9</v>
      </c>
      <c r="CE34" s="130">
        <v>-1</v>
      </c>
      <c r="CF34" s="130">
        <v>-2</v>
      </c>
      <c r="CG34" s="130">
        <v>-7</v>
      </c>
      <c r="CH34" s="130">
        <v>0</v>
      </c>
      <c r="CI34" s="130">
        <v>0</v>
      </c>
      <c r="CJ34" s="130"/>
      <c r="CK34" s="130"/>
    </row>
    <row r="35" spans="1:89" x14ac:dyDescent="0.25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BK35" t="s">
        <v>98</v>
      </c>
      <c r="BO35" t="s">
        <v>98</v>
      </c>
      <c r="BS35" t="s">
        <v>98</v>
      </c>
    </row>
    <row r="36" spans="1:89" x14ac:dyDescent="0.25">
      <c r="B36" s="10"/>
      <c r="C36" s="10"/>
      <c r="D36" s="10"/>
      <c r="E36" s="10"/>
      <c r="F36" s="29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89" x14ac:dyDescent="0.25">
      <c r="B37" s="10"/>
      <c r="C37" s="10"/>
      <c r="D37" s="10"/>
      <c r="E37" s="10"/>
      <c r="F37" s="2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89" x14ac:dyDescent="0.25">
      <c r="B38" s="10"/>
      <c r="C38" s="10"/>
      <c r="D38" s="10"/>
      <c r="E38" s="10"/>
      <c r="F38" s="2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89" x14ac:dyDescent="0.25">
      <c r="B39" s="10"/>
      <c r="C39" s="10"/>
      <c r="D39" s="10"/>
      <c r="E39" s="10"/>
      <c r="F39" s="2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89" s="143" customFormat="1" outlineLevel="1" x14ac:dyDescent="0.25">
      <c r="A40" s="140"/>
      <c r="B40" s="141"/>
      <c r="C40" s="141"/>
      <c r="D40" s="141"/>
      <c r="E40" s="142" t="str">
        <f t="shared" ref="E40:AN40" si="0">IF( ISERR( FIND( "Q4", E$28 ) ), "", LEFT( E$28, 4 ) )</f>
        <v>2001</v>
      </c>
      <c r="F40" s="142" t="str">
        <f t="shared" si="0"/>
        <v/>
      </c>
      <c r="G40" s="142" t="str">
        <f t="shared" si="0"/>
        <v/>
      </c>
      <c r="H40" s="142" t="str">
        <f t="shared" si="0"/>
        <v/>
      </c>
      <c r="I40" s="142" t="str">
        <f t="shared" si="0"/>
        <v>2002</v>
      </c>
      <c r="J40" s="142" t="str">
        <f t="shared" si="0"/>
        <v/>
      </c>
      <c r="K40" s="142" t="str">
        <f t="shared" si="0"/>
        <v/>
      </c>
      <c r="L40" s="142" t="str">
        <f t="shared" si="0"/>
        <v/>
      </c>
      <c r="M40" s="142" t="str">
        <f t="shared" si="0"/>
        <v>2003</v>
      </c>
      <c r="N40" s="142" t="str">
        <f t="shared" si="0"/>
        <v/>
      </c>
      <c r="O40" s="142" t="str">
        <f t="shared" si="0"/>
        <v/>
      </c>
      <c r="P40" s="142" t="str">
        <f t="shared" si="0"/>
        <v/>
      </c>
      <c r="Q40" s="142" t="str">
        <f t="shared" si="0"/>
        <v>2004</v>
      </c>
      <c r="R40" s="142" t="str">
        <f t="shared" si="0"/>
        <v/>
      </c>
      <c r="S40" s="142" t="str">
        <f t="shared" si="0"/>
        <v/>
      </c>
      <c r="T40" s="142" t="str">
        <f t="shared" si="0"/>
        <v/>
      </c>
      <c r="U40" s="142" t="str">
        <f t="shared" si="0"/>
        <v>2005</v>
      </c>
      <c r="V40" s="142" t="str">
        <f t="shared" si="0"/>
        <v/>
      </c>
      <c r="W40" s="142" t="str">
        <f t="shared" si="0"/>
        <v/>
      </c>
      <c r="X40" s="142" t="str">
        <f t="shared" si="0"/>
        <v/>
      </c>
      <c r="Y40" s="142" t="str">
        <f t="shared" si="0"/>
        <v>2006</v>
      </c>
      <c r="Z40" s="142" t="str">
        <f t="shared" si="0"/>
        <v/>
      </c>
      <c r="AA40" s="142" t="str">
        <f t="shared" si="0"/>
        <v/>
      </c>
      <c r="AB40" s="142" t="str">
        <f t="shared" si="0"/>
        <v/>
      </c>
      <c r="AC40" s="142" t="str">
        <f t="shared" si="0"/>
        <v>2007</v>
      </c>
      <c r="AD40" s="142" t="str">
        <f t="shared" si="0"/>
        <v/>
      </c>
      <c r="AE40" s="142" t="str">
        <f t="shared" si="0"/>
        <v/>
      </c>
      <c r="AF40" s="142" t="str">
        <f t="shared" si="0"/>
        <v/>
      </c>
      <c r="AG40" s="142" t="str">
        <f t="shared" si="0"/>
        <v>2008</v>
      </c>
      <c r="AH40" s="142" t="str">
        <f t="shared" si="0"/>
        <v/>
      </c>
      <c r="AI40" s="142" t="str">
        <f t="shared" si="0"/>
        <v/>
      </c>
      <c r="AJ40" s="142" t="str">
        <f t="shared" si="0"/>
        <v/>
      </c>
      <c r="AK40" s="142" t="str">
        <f t="shared" si="0"/>
        <v>2009</v>
      </c>
      <c r="AL40" s="142" t="str">
        <f t="shared" si="0"/>
        <v/>
      </c>
      <c r="AM40" s="142" t="str">
        <f t="shared" si="0"/>
        <v/>
      </c>
      <c r="AN40" s="142" t="str">
        <f t="shared" si="0"/>
        <v/>
      </c>
      <c r="AO40" s="142" t="str">
        <f>IF( ISERR( FIND( "Q4", AO$28 ) ), "", LEFT( AO$28, 4 ) )</f>
        <v>2010</v>
      </c>
      <c r="AP40" s="142" t="str">
        <f t="shared" ref="AP40:BX40" si="1">IF( ISERR( FIND( "Q4", AP$28 ) ), "", LEFT( AP$28, 4 ) )</f>
        <v/>
      </c>
      <c r="AQ40" s="142" t="str">
        <f t="shared" si="1"/>
        <v/>
      </c>
      <c r="AR40" s="142" t="str">
        <f t="shared" si="1"/>
        <v/>
      </c>
      <c r="AS40" s="142" t="str">
        <f t="shared" si="1"/>
        <v>2011</v>
      </c>
      <c r="AT40" s="142" t="str">
        <f t="shared" si="1"/>
        <v/>
      </c>
      <c r="AU40" s="142" t="str">
        <f t="shared" si="1"/>
        <v/>
      </c>
      <c r="AV40" s="142" t="str">
        <f t="shared" si="1"/>
        <v/>
      </c>
      <c r="AW40" s="142" t="str">
        <f t="shared" si="1"/>
        <v>2012</v>
      </c>
      <c r="AX40" s="142" t="str">
        <f t="shared" si="1"/>
        <v/>
      </c>
      <c r="AY40" s="142" t="str">
        <f t="shared" si="1"/>
        <v/>
      </c>
      <c r="AZ40" s="142" t="str">
        <f t="shared" si="1"/>
        <v/>
      </c>
      <c r="BA40" s="142" t="str">
        <f t="shared" si="1"/>
        <v>2013</v>
      </c>
      <c r="BB40" s="142" t="str">
        <f t="shared" si="1"/>
        <v/>
      </c>
      <c r="BC40" s="142" t="str">
        <f t="shared" si="1"/>
        <v/>
      </c>
      <c r="BD40" s="142" t="str">
        <f t="shared" si="1"/>
        <v/>
      </c>
      <c r="BE40" s="142" t="str">
        <f t="shared" si="1"/>
        <v>2014</v>
      </c>
      <c r="BF40" s="142" t="str">
        <f t="shared" si="1"/>
        <v/>
      </c>
      <c r="BG40" s="142" t="str">
        <f t="shared" si="1"/>
        <v/>
      </c>
      <c r="BH40" s="142" t="str">
        <f t="shared" si="1"/>
        <v/>
      </c>
      <c r="BI40" s="142" t="str">
        <f t="shared" si="1"/>
        <v>2015</v>
      </c>
      <c r="BJ40" s="142" t="str">
        <f t="shared" si="1"/>
        <v/>
      </c>
      <c r="BK40" s="142" t="str">
        <f t="shared" si="1"/>
        <v/>
      </c>
      <c r="BL40" s="142" t="str">
        <f t="shared" si="1"/>
        <v/>
      </c>
      <c r="BM40" s="142" t="str">
        <f>IF( ISERR( FIND( "Q4", BM$28 ) ), "", LEFT( BM$28, 4 ) )</f>
        <v>2016</v>
      </c>
      <c r="BN40" s="142" t="str">
        <f t="shared" si="1"/>
        <v/>
      </c>
      <c r="BO40" s="142" t="str">
        <f t="shared" si="1"/>
        <v/>
      </c>
      <c r="BP40" s="142" t="str">
        <f t="shared" si="1"/>
        <v/>
      </c>
      <c r="BQ40" s="142" t="str">
        <f>IF( ISERR( FIND( "Q4", BQ$28 ) ), "", LEFT( BQ$28, 4 ) )</f>
        <v>2017</v>
      </c>
      <c r="BR40" s="142" t="str">
        <f t="shared" si="1"/>
        <v/>
      </c>
      <c r="BS40" s="142" t="str">
        <f t="shared" si="1"/>
        <v/>
      </c>
      <c r="BT40" s="142" t="str">
        <f t="shared" si="1"/>
        <v/>
      </c>
      <c r="BU40" s="142">
        <v>2018</v>
      </c>
      <c r="BV40" s="142" t="str">
        <f t="shared" si="1"/>
        <v/>
      </c>
      <c r="BW40" s="142" t="str">
        <f t="shared" si="1"/>
        <v/>
      </c>
      <c r="BX40" s="142" t="str">
        <f t="shared" si="1"/>
        <v/>
      </c>
      <c r="BY40" s="142">
        <v>2019</v>
      </c>
      <c r="CC40" s="142">
        <v>2020</v>
      </c>
      <c r="CG40" s="142">
        <v>2021</v>
      </c>
      <c r="CK40" s="142">
        <v>2022</v>
      </c>
    </row>
    <row r="41" spans="1:89" s="136" customFormat="1" outlineLevel="1" x14ac:dyDescent="0.25">
      <c r="A41" s="133"/>
      <c r="B41" s="134"/>
      <c r="C41" s="134"/>
      <c r="D41" s="134"/>
      <c r="E41" s="134"/>
      <c r="F41" s="135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89" s="309" customFormat="1" outlineLevel="1" x14ac:dyDescent="0.25">
      <c r="A42" s="308" t="s">
        <v>92</v>
      </c>
      <c r="E42" s="309">
        <f t="shared" ref="E42:N47" si="2">IF( ISERR( FIND( "Q4", E$28 ) ), "", SUM( B29:E29 ) )</f>
        <v>10</v>
      </c>
      <c r="F42" s="309" t="str">
        <f t="shared" si="2"/>
        <v/>
      </c>
      <c r="G42" s="309" t="str">
        <f t="shared" si="2"/>
        <v/>
      </c>
      <c r="H42" s="309" t="str">
        <f t="shared" si="2"/>
        <v/>
      </c>
      <c r="I42" s="309">
        <f t="shared" si="2"/>
        <v>2</v>
      </c>
      <c r="J42" s="309" t="str">
        <f t="shared" si="2"/>
        <v/>
      </c>
      <c r="K42" s="309" t="str">
        <f t="shared" si="2"/>
        <v/>
      </c>
      <c r="L42" s="309" t="str">
        <f t="shared" si="2"/>
        <v/>
      </c>
      <c r="M42" s="309">
        <f t="shared" si="2"/>
        <v>18</v>
      </c>
      <c r="N42" s="309" t="str">
        <f t="shared" si="2"/>
        <v/>
      </c>
      <c r="O42" s="309" t="str">
        <f t="shared" ref="O42:X47" si="3">IF( ISERR( FIND( "Q4", O$28 ) ), "", SUM( L29:O29 ) )</f>
        <v/>
      </c>
      <c r="P42" s="309" t="str">
        <f t="shared" si="3"/>
        <v/>
      </c>
      <c r="Q42" s="309">
        <f t="shared" si="3"/>
        <v>16</v>
      </c>
      <c r="R42" s="309" t="str">
        <f t="shared" si="3"/>
        <v/>
      </c>
      <c r="S42" s="309" t="str">
        <f t="shared" si="3"/>
        <v/>
      </c>
      <c r="T42" s="309" t="str">
        <f t="shared" si="3"/>
        <v/>
      </c>
      <c r="U42" s="309">
        <f t="shared" si="3"/>
        <v>18</v>
      </c>
      <c r="V42" s="309" t="str">
        <f t="shared" si="3"/>
        <v/>
      </c>
      <c r="W42" s="309" t="str">
        <f t="shared" si="3"/>
        <v/>
      </c>
      <c r="X42" s="309" t="str">
        <f t="shared" si="3"/>
        <v/>
      </c>
      <c r="Y42" s="309">
        <f t="shared" ref="Y42:AH47" si="4">IF( ISERR( FIND( "Q4", Y$28 ) ), "", SUM( V29:Y29 ) )</f>
        <v>25</v>
      </c>
      <c r="Z42" s="309" t="str">
        <f t="shared" si="4"/>
        <v/>
      </c>
      <c r="AA42" s="309" t="str">
        <f t="shared" si="4"/>
        <v/>
      </c>
      <c r="AB42" s="309" t="str">
        <f t="shared" si="4"/>
        <v/>
      </c>
      <c r="AC42" s="309">
        <f t="shared" si="4"/>
        <v>28</v>
      </c>
      <c r="AD42" s="309" t="str">
        <f t="shared" si="4"/>
        <v/>
      </c>
      <c r="AE42" s="309" t="str">
        <f t="shared" si="4"/>
        <v/>
      </c>
      <c r="AF42" s="309" t="str">
        <f t="shared" si="4"/>
        <v/>
      </c>
      <c r="AG42" s="309">
        <f t="shared" si="4"/>
        <v>8</v>
      </c>
      <c r="AH42" s="309" t="str">
        <f t="shared" si="4"/>
        <v/>
      </c>
      <c r="AI42" s="309" t="str">
        <f t="shared" ref="AI42:AR47" si="5">IF( ISERR( FIND( "Q4", AI$28 ) ), "", SUM( AF29:AI29 ) )</f>
        <v/>
      </c>
      <c r="AJ42" s="309" t="str">
        <f t="shared" si="5"/>
        <v/>
      </c>
      <c r="AK42" s="309">
        <f t="shared" si="5"/>
        <v>6</v>
      </c>
      <c r="AL42" s="309" t="str">
        <f t="shared" si="5"/>
        <v/>
      </c>
      <c r="AM42" s="309" t="str">
        <f t="shared" si="5"/>
        <v/>
      </c>
      <c r="AN42" s="309" t="str">
        <f t="shared" si="5"/>
        <v/>
      </c>
      <c r="AO42" s="309">
        <f t="shared" si="5"/>
        <v>7</v>
      </c>
      <c r="AP42" s="309" t="str">
        <f t="shared" si="5"/>
        <v/>
      </c>
      <c r="AQ42" s="309" t="str">
        <f t="shared" si="5"/>
        <v/>
      </c>
      <c r="AR42" s="309" t="str">
        <f t="shared" si="5"/>
        <v/>
      </c>
      <c r="AS42" s="309">
        <f t="shared" ref="AS42:AW47" si="6">IF( ISERR( FIND( "Q4", AS$28 ) ), "", SUM( AP29:AS29 ) )</f>
        <v>14</v>
      </c>
      <c r="AT42" s="309" t="str">
        <f t="shared" si="6"/>
        <v/>
      </c>
      <c r="AU42" s="309" t="str">
        <f t="shared" si="6"/>
        <v/>
      </c>
      <c r="AV42" s="309" t="str">
        <f t="shared" si="6"/>
        <v/>
      </c>
      <c r="AW42" s="309">
        <f t="shared" si="6"/>
        <v>13</v>
      </c>
      <c r="AX42" s="309" t="str">
        <f t="shared" ref="AX42:AX47" si="7">IF( ISERR( FIND( "Q4", AX$28 ) ), "", SUM( AQ29:AX29 ) )</f>
        <v/>
      </c>
      <c r="AY42" s="309" t="str">
        <f t="shared" ref="AY42:AY47" si="8">IF( ISERR( FIND( "Q4", AY$28 ) ), "", SUM( AR29:AY29 ) )</f>
        <v/>
      </c>
      <c r="AZ42" s="309" t="str">
        <f t="shared" ref="AZ42:AZ47" si="9">IF( ISERR( FIND( "Q4", AZ$28 ) ), "", SUM( AS29:AZ29 ) )</f>
        <v/>
      </c>
      <c r="BA42" s="309">
        <f t="shared" ref="BA42:BA47" si="10">IF( ISERR( FIND( "Q4", BA$28 ) ), "", SUM( AX29:BA29 ) )</f>
        <v>10</v>
      </c>
      <c r="BB42" s="309" t="str">
        <f t="shared" ref="BB42:BB47" si="11">IF( ISERR( FIND( "Q4", BB$28 ) ), "", SUM( AQ29:BB29 ) )</f>
        <v/>
      </c>
      <c r="BC42" s="309" t="str">
        <f t="shared" ref="BC42:BC47" si="12">IF( ISERR( FIND( "Q4", BC$28 ) ), "", SUM( AR29:BC29 ) )</f>
        <v/>
      </c>
      <c r="BD42" s="309" t="str">
        <f t="shared" ref="BD42:BD47" si="13">IF( ISERR( FIND( "Q4", BD$28 ) ), "", SUM( AS29:BD29 ) )</f>
        <v/>
      </c>
      <c r="BE42" s="309">
        <f t="shared" ref="BE42:BE47" si="14">IF( ISERR( FIND( "Q4", BE$28 ) ), "", SUM( BB29:BE29 ) )</f>
        <v>12</v>
      </c>
      <c r="BF42" s="309" t="str">
        <f t="shared" ref="BF42:BF47" si="15">IF( ISERR( FIND( "Q4", BF$28 ) ), "", SUM( AQ29:BF29 ) )</f>
        <v/>
      </c>
      <c r="BG42" s="309" t="str">
        <f t="shared" ref="BG42:BG47" si="16">IF( ISERR( FIND( "Q4", BG$28 ) ), "", SUM( AR29:BG29 ) )</f>
        <v/>
      </c>
      <c r="BH42" s="309" t="str">
        <f t="shared" ref="BH42:BH47" si="17">IF( ISERR( FIND( "Q4", BH$28 ) ), "", SUM( AS29:BH29 ) )</f>
        <v/>
      </c>
      <c r="BI42" s="309">
        <f t="shared" ref="BI42:BI47" si="18">IF( ISERR( FIND( "Q4", BI$28 ) ), "", SUM( BF29:BI29 ) )</f>
        <v>6</v>
      </c>
      <c r="BJ42" s="309" t="str">
        <f t="shared" ref="BJ42:BL47" si="19">IF( ISERR( FIND( "Q4", BJ$28 ) ), "", SUM( AQ29:BJ29 ) )</f>
        <v/>
      </c>
      <c r="BK42" s="309" t="str">
        <f t="shared" si="19"/>
        <v/>
      </c>
      <c r="BL42" s="309" t="str">
        <f t="shared" si="19"/>
        <v/>
      </c>
      <c r="BM42" s="309">
        <f t="shared" ref="BM42:BM47" si="20">IF( ISERR( FIND( "Q4", BM$28 ) ), "", SUM( BJ29:BM29 ) )</f>
        <v>13</v>
      </c>
      <c r="BN42" s="309" t="str">
        <f t="shared" ref="BN42:BP47" si="21">IF( ISERR( FIND( "Q4", BN$28 ) ), "", SUM( AQ29:BN29 ) )</f>
        <v/>
      </c>
      <c r="BO42" s="309" t="str">
        <f t="shared" si="21"/>
        <v/>
      </c>
      <c r="BP42" s="309" t="str">
        <f t="shared" si="21"/>
        <v/>
      </c>
      <c r="BQ42" s="309">
        <f t="shared" ref="BQ42:BQ47" si="22">IF( ISERR( FIND( "Q4", BQ$28 ) ), "", SUM( BN29:BQ29 ) )</f>
        <v>11</v>
      </c>
      <c r="BR42" s="309" t="str">
        <f t="shared" ref="BR42:BT47" si="23">IF( ISERR( FIND( "Q4", BR$28 ) ), "", SUM( AU29:BR29 ) )</f>
        <v/>
      </c>
      <c r="BS42" s="309" t="str">
        <f t="shared" si="23"/>
        <v/>
      </c>
      <c r="BT42" s="309" t="str">
        <f t="shared" si="23"/>
        <v/>
      </c>
      <c r="BU42" s="309">
        <f t="shared" ref="BU42:BU47" si="24">IF( ISERR( FIND( "Q4", BU$28 ) ), "", SUM( BR29:BU29 ) )</f>
        <v>12</v>
      </c>
      <c r="BV42" s="309" t="str">
        <f t="shared" ref="BV42:BV47" si="25">IF( ISERR( FIND( "Q4", BV$28 ) ), "", SUM( AY29:BV29 ) )</f>
        <v/>
      </c>
      <c r="BW42" s="309" t="str">
        <f t="shared" ref="BW42:BW47" si="26">IF( ISERR( FIND( "Q4", BW$28 ) ), "", SUM( AZ29:BW29 ) )</f>
        <v/>
      </c>
      <c r="BX42" s="309" t="str">
        <f t="shared" ref="BX42:BX47" si="27">IF( ISERR( FIND( "Q4", BX$28 ) ), "", SUM( BA29:BX29 ) )</f>
        <v/>
      </c>
      <c r="BY42" s="309">
        <f t="shared" ref="BY42:BY47" si="28">IF( ISERR( FIND( "Q4", BY$28 ) ), "", SUM( BV29:BY29 ) )</f>
        <v>26</v>
      </c>
      <c r="BZ42" s="309" t="str">
        <f t="shared" ref="BZ42:BZ47" si="29">IF( ISERR( FIND( "Q4", BZ$28 ) ), "", SUM( BW29:BZ29 ) )</f>
        <v/>
      </c>
      <c r="CA42" s="309" t="str">
        <f t="shared" ref="CA42:CA47" si="30">IF( ISERR( FIND( "Q4", CA$28 ) ), "", SUM( BX29:CA29 ) )</f>
        <v/>
      </c>
      <c r="CB42" s="309" t="str">
        <f t="shared" ref="CB42:CB47" si="31">IF( ISERR( FIND( "Q4", CB$28 ) ), "", SUM( BY29:CB29 ) )</f>
        <v/>
      </c>
      <c r="CC42" s="309">
        <f t="shared" ref="CC42:CC47" si="32">IF( ISERR( FIND( "Q4", CC$28 ) ), "", SUM( BZ29:CC29 ) )</f>
        <v>5</v>
      </c>
      <c r="CD42" s="309" t="str">
        <f t="shared" ref="CD42:CD47" ca="1" si="33">IF( ISERR( FIND( "Q4", CD$28 ) ), "", SUM( CA29:CD29 ) )</f>
        <v/>
      </c>
      <c r="CE42" s="309" t="str">
        <f t="shared" ref="CE42:CE47" ca="1" si="34">IF( ISERR( FIND( "Q4", CE$28 ) ), "", SUM( CB29:CE29 ) )</f>
        <v/>
      </c>
      <c r="CF42" s="309" t="str">
        <f t="shared" ref="CF42:CF47" ca="1" si="35">IF( ISERR( FIND( "Q4", CF$28 ) ), "", SUM( CC29:CF29 ) )</f>
        <v/>
      </c>
      <c r="CG42" s="309">
        <f t="shared" ref="CG42:CG47" ca="1" si="36">IF( ISERR( FIND( "Q4", CG$28 ) ), "", SUM( CD29:CG29 ) )</f>
        <v>2</v>
      </c>
      <c r="CH42" s="309" t="str">
        <f t="shared" ref="CH42:CH47" ca="1" si="37">IF( ISERR( FIND( "Q4", CH$28 ) ), "", SUM( CE29:CH29 ) )</f>
        <v/>
      </c>
      <c r="CI42" s="309" t="str">
        <f t="shared" ref="CI42:CI47" ca="1" si="38">IF( ISERR( FIND( "Q4", CI$28 ) ), "", SUM( CF29:CI29 ) )</f>
        <v/>
      </c>
      <c r="CJ42" s="309" t="str">
        <f t="shared" ref="CJ42:CJ47" ca="1" si="39">IF( ISERR( FIND( "Q4", CJ$28 ) ), "", SUM( CG29:CJ29 ) )</f>
        <v/>
      </c>
      <c r="CK42" s="309">
        <f t="shared" ref="CK42:CK47" ca="1" si="40">IF( ISERR( FIND( "Q4", CK$28 ) ), "", SUM( CH29:CK29 ) )</f>
        <v>4</v>
      </c>
    </row>
    <row r="43" spans="1:89" s="313" customFormat="1" outlineLevel="1" x14ac:dyDescent="0.25">
      <c r="A43" s="312" t="s">
        <v>93</v>
      </c>
      <c r="E43" s="313">
        <f t="shared" si="2"/>
        <v>-28</v>
      </c>
      <c r="F43" s="313" t="str">
        <f t="shared" si="2"/>
        <v/>
      </c>
      <c r="G43" s="313" t="str">
        <f t="shared" si="2"/>
        <v/>
      </c>
      <c r="H43" s="313" t="str">
        <f t="shared" si="2"/>
        <v/>
      </c>
      <c r="I43" s="313">
        <f t="shared" si="2"/>
        <v>-55</v>
      </c>
      <c r="J43" s="313" t="str">
        <f t="shared" si="2"/>
        <v/>
      </c>
      <c r="K43" s="313" t="str">
        <f t="shared" si="2"/>
        <v/>
      </c>
      <c r="L43" s="313" t="str">
        <f t="shared" si="2"/>
        <v/>
      </c>
      <c r="M43" s="313">
        <f t="shared" si="2"/>
        <v>-44</v>
      </c>
      <c r="N43" s="313" t="str">
        <f t="shared" si="2"/>
        <v/>
      </c>
      <c r="O43" s="313" t="str">
        <f t="shared" si="3"/>
        <v/>
      </c>
      <c r="P43" s="313" t="str">
        <f t="shared" si="3"/>
        <v/>
      </c>
      <c r="Q43" s="313">
        <f t="shared" si="3"/>
        <v>-18</v>
      </c>
      <c r="R43" s="313" t="str">
        <f t="shared" si="3"/>
        <v/>
      </c>
      <c r="S43" s="313" t="str">
        <f t="shared" si="3"/>
        <v/>
      </c>
      <c r="T43" s="313" t="str">
        <f t="shared" si="3"/>
        <v/>
      </c>
      <c r="U43" s="313">
        <f t="shared" si="3"/>
        <v>-4</v>
      </c>
      <c r="V43" s="313" t="str">
        <f t="shared" si="3"/>
        <v/>
      </c>
      <c r="W43" s="313" t="str">
        <f t="shared" si="3"/>
        <v/>
      </c>
      <c r="X43" s="313" t="str">
        <f t="shared" si="3"/>
        <v/>
      </c>
      <c r="Y43" s="313">
        <f t="shared" si="4"/>
        <v>-6</v>
      </c>
      <c r="Z43" s="313" t="str">
        <f t="shared" si="4"/>
        <v/>
      </c>
      <c r="AA43" s="313" t="str">
        <f t="shared" si="4"/>
        <v/>
      </c>
      <c r="AB43" s="313" t="str">
        <f t="shared" si="4"/>
        <v/>
      </c>
      <c r="AC43" s="313">
        <f t="shared" si="4"/>
        <v>-13</v>
      </c>
      <c r="AD43" s="313" t="str">
        <f t="shared" si="4"/>
        <v/>
      </c>
      <c r="AE43" s="313" t="str">
        <f t="shared" si="4"/>
        <v/>
      </c>
      <c r="AF43" s="313" t="str">
        <f t="shared" si="4"/>
        <v/>
      </c>
      <c r="AG43" s="313">
        <f t="shared" si="4"/>
        <v>-9</v>
      </c>
      <c r="AH43" s="313" t="str">
        <f t="shared" si="4"/>
        <v/>
      </c>
      <c r="AI43" s="313" t="str">
        <f t="shared" si="5"/>
        <v/>
      </c>
      <c r="AJ43" s="313" t="str">
        <f t="shared" si="5"/>
        <v/>
      </c>
      <c r="AK43" s="313">
        <f t="shared" si="5"/>
        <v>-8</v>
      </c>
      <c r="AL43" s="313" t="str">
        <f t="shared" si="5"/>
        <v/>
      </c>
      <c r="AM43" s="313" t="str">
        <f t="shared" si="5"/>
        <v/>
      </c>
      <c r="AN43" s="313" t="str">
        <f t="shared" si="5"/>
        <v/>
      </c>
      <c r="AO43" s="313">
        <f t="shared" si="5"/>
        <v>-17</v>
      </c>
      <c r="AP43" s="313" t="str">
        <f t="shared" si="5"/>
        <v/>
      </c>
      <c r="AQ43" s="313" t="str">
        <f t="shared" si="5"/>
        <v/>
      </c>
      <c r="AR43" s="313" t="str">
        <f t="shared" si="5"/>
        <v/>
      </c>
      <c r="AS43" s="313">
        <f t="shared" si="6"/>
        <v>-11</v>
      </c>
      <c r="AT43" s="313" t="str">
        <f t="shared" si="6"/>
        <v/>
      </c>
      <c r="AU43" s="313" t="str">
        <f t="shared" si="6"/>
        <v/>
      </c>
      <c r="AV43" s="313" t="str">
        <f t="shared" si="6"/>
        <v/>
      </c>
      <c r="AW43" s="313">
        <f t="shared" si="6"/>
        <v>-13</v>
      </c>
      <c r="AX43" s="313" t="str">
        <f t="shared" si="7"/>
        <v/>
      </c>
      <c r="AY43" s="313" t="str">
        <f t="shared" si="8"/>
        <v/>
      </c>
      <c r="AZ43" s="313" t="str">
        <f t="shared" si="9"/>
        <v/>
      </c>
      <c r="BA43" s="313">
        <f t="shared" si="10"/>
        <v>-13</v>
      </c>
      <c r="BB43" s="313" t="str">
        <f t="shared" si="11"/>
        <v/>
      </c>
      <c r="BC43" s="313" t="str">
        <f t="shared" si="12"/>
        <v/>
      </c>
      <c r="BD43" s="313" t="str">
        <f t="shared" si="13"/>
        <v/>
      </c>
      <c r="BE43" s="313">
        <f t="shared" si="14"/>
        <v>-2</v>
      </c>
      <c r="BF43" s="313" t="str">
        <f t="shared" si="15"/>
        <v/>
      </c>
      <c r="BG43" s="313" t="str">
        <f t="shared" si="16"/>
        <v/>
      </c>
      <c r="BH43" s="313" t="str">
        <f t="shared" si="17"/>
        <v/>
      </c>
      <c r="BI43" s="313">
        <f t="shared" si="18"/>
        <v>-5</v>
      </c>
      <c r="BJ43" s="313" t="str">
        <f t="shared" si="19"/>
        <v/>
      </c>
      <c r="BK43" s="313" t="str">
        <f t="shared" si="19"/>
        <v/>
      </c>
      <c r="BL43" s="313" t="str">
        <f t="shared" si="19"/>
        <v/>
      </c>
      <c r="BM43" s="313">
        <f t="shared" si="20"/>
        <v>-3</v>
      </c>
      <c r="BN43" s="313" t="str">
        <f t="shared" si="21"/>
        <v/>
      </c>
      <c r="BO43" s="313" t="str">
        <f t="shared" si="21"/>
        <v/>
      </c>
      <c r="BP43" s="313" t="str">
        <f t="shared" si="21"/>
        <v/>
      </c>
      <c r="BQ43" s="313">
        <f t="shared" si="22"/>
        <v>-4</v>
      </c>
      <c r="BR43" s="313" t="str">
        <f t="shared" si="23"/>
        <v/>
      </c>
      <c r="BS43" s="313" t="str">
        <f t="shared" si="23"/>
        <v/>
      </c>
      <c r="BT43" s="313" t="str">
        <f t="shared" si="23"/>
        <v/>
      </c>
      <c r="BU43" s="313">
        <f t="shared" si="24"/>
        <v>-21</v>
      </c>
      <c r="BV43" s="313" t="str">
        <f t="shared" si="25"/>
        <v/>
      </c>
      <c r="BW43" s="313" t="str">
        <f t="shared" si="26"/>
        <v/>
      </c>
      <c r="BX43" s="313" t="str">
        <f t="shared" si="27"/>
        <v/>
      </c>
      <c r="BY43" s="313">
        <f t="shared" si="28"/>
        <v>-10</v>
      </c>
      <c r="BZ43" s="313" t="str">
        <f t="shared" si="29"/>
        <v/>
      </c>
      <c r="CA43" s="313" t="str">
        <f t="shared" si="30"/>
        <v/>
      </c>
      <c r="CB43" s="313" t="str">
        <f t="shared" si="31"/>
        <v/>
      </c>
      <c r="CC43" s="313">
        <f t="shared" si="32"/>
        <v>-19</v>
      </c>
      <c r="CD43" s="313" t="str">
        <f t="shared" ca="1" si="33"/>
        <v/>
      </c>
      <c r="CE43" s="313" t="str">
        <f t="shared" ca="1" si="34"/>
        <v/>
      </c>
      <c r="CF43" s="313" t="str">
        <f t="shared" ca="1" si="35"/>
        <v/>
      </c>
      <c r="CG43" s="313">
        <f t="shared" ca="1" si="36"/>
        <v>-4</v>
      </c>
      <c r="CH43" s="313" t="str">
        <f t="shared" ca="1" si="37"/>
        <v/>
      </c>
      <c r="CI43" s="313" t="str">
        <f t="shared" ca="1" si="38"/>
        <v/>
      </c>
      <c r="CJ43" s="313" t="str">
        <f t="shared" ca="1" si="39"/>
        <v/>
      </c>
      <c r="CK43" s="313">
        <f t="shared" ca="1" si="40"/>
        <v>-3</v>
      </c>
    </row>
    <row r="44" spans="1:89" s="309" customFormat="1" outlineLevel="1" x14ac:dyDescent="0.25">
      <c r="A44" s="308" t="s">
        <v>94</v>
      </c>
      <c r="E44" s="309">
        <f t="shared" si="2"/>
        <v>27</v>
      </c>
      <c r="F44" s="309" t="str">
        <f t="shared" si="2"/>
        <v/>
      </c>
      <c r="G44" s="309" t="str">
        <f t="shared" si="2"/>
        <v/>
      </c>
      <c r="H44" s="309" t="str">
        <f t="shared" si="2"/>
        <v/>
      </c>
      <c r="I44" s="309">
        <f t="shared" si="2"/>
        <v>5</v>
      </c>
      <c r="J44" s="309" t="str">
        <f t="shared" si="2"/>
        <v/>
      </c>
      <c r="K44" s="309" t="str">
        <f t="shared" si="2"/>
        <v/>
      </c>
      <c r="L44" s="309" t="str">
        <f t="shared" si="2"/>
        <v/>
      </c>
      <c r="M44" s="309">
        <f t="shared" si="2"/>
        <v>11</v>
      </c>
      <c r="N44" s="309" t="str">
        <f t="shared" si="2"/>
        <v/>
      </c>
      <c r="O44" s="309" t="str">
        <f t="shared" si="3"/>
        <v/>
      </c>
      <c r="P44" s="309" t="str">
        <f t="shared" si="3"/>
        <v/>
      </c>
      <c r="Q44" s="309">
        <f t="shared" si="3"/>
        <v>20</v>
      </c>
      <c r="R44" s="309" t="str">
        <f t="shared" si="3"/>
        <v/>
      </c>
      <c r="S44" s="309" t="str">
        <f t="shared" si="3"/>
        <v/>
      </c>
      <c r="T44" s="309" t="str">
        <f t="shared" si="3"/>
        <v/>
      </c>
      <c r="U44" s="309">
        <f t="shared" si="3"/>
        <v>31</v>
      </c>
      <c r="V44" s="309" t="str">
        <f t="shared" si="3"/>
        <v/>
      </c>
      <c r="W44" s="309" t="str">
        <f t="shared" si="3"/>
        <v/>
      </c>
      <c r="X44" s="309" t="str">
        <f t="shared" si="3"/>
        <v/>
      </c>
      <c r="Y44" s="309">
        <f t="shared" si="4"/>
        <v>22</v>
      </c>
      <c r="Z44" s="309" t="str">
        <f t="shared" si="4"/>
        <v/>
      </c>
      <c r="AA44" s="309" t="str">
        <f t="shared" si="4"/>
        <v/>
      </c>
      <c r="AB44" s="309" t="str">
        <f t="shared" si="4"/>
        <v/>
      </c>
      <c r="AC44" s="309">
        <f t="shared" si="4"/>
        <v>19</v>
      </c>
      <c r="AD44" s="309" t="str">
        <f t="shared" si="4"/>
        <v/>
      </c>
      <c r="AE44" s="309" t="str">
        <f t="shared" si="4"/>
        <v/>
      </c>
      <c r="AF44" s="309" t="str">
        <f t="shared" si="4"/>
        <v/>
      </c>
      <c r="AG44" s="309">
        <f t="shared" si="4"/>
        <v>3</v>
      </c>
      <c r="AH44" s="309" t="str">
        <f t="shared" si="4"/>
        <v/>
      </c>
      <c r="AI44" s="309" t="str">
        <f t="shared" si="5"/>
        <v/>
      </c>
      <c r="AJ44" s="309" t="str">
        <f t="shared" si="5"/>
        <v/>
      </c>
      <c r="AK44" s="309">
        <f t="shared" si="5"/>
        <v>5</v>
      </c>
      <c r="AL44" s="309" t="str">
        <f t="shared" si="5"/>
        <v/>
      </c>
      <c r="AM44" s="309" t="str">
        <f t="shared" si="5"/>
        <v/>
      </c>
      <c r="AN44" s="309" t="str">
        <f t="shared" si="5"/>
        <v/>
      </c>
      <c r="AO44" s="309">
        <f t="shared" si="5"/>
        <v>7</v>
      </c>
      <c r="AP44" s="309" t="str">
        <f t="shared" si="5"/>
        <v/>
      </c>
      <c r="AQ44" s="309" t="str">
        <f t="shared" si="5"/>
        <v/>
      </c>
      <c r="AR44" s="309" t="str">
        <f t="shared" si="5"/>
        <v/>
      </c>
      <c r="AS44" s="309">
        <f t="shared" si="6"/>
        <v>7</v>
      </c>
      <c r="AT44" s="309" t="str">
        <f t="shared" si="6"/>
        <v/>
      </c>
      <c r="AU44" s="309" t="str">
        <f t="shared" si="6"/>
        <v/>
      </c>
      <c r="AV44" s="309" t="str">
        <f t="shared" si="6"/>
        <v/>
      </c>
      <c r="AW44" s="309">
        <f t="shared" si="6"/>
        <v>14</v>
      </c>
      <c r="AX44" s="309" t="str">
        <f t="shared" si="7"/>
        <v/>
      </c>
      <c r="AY44" s="309" t="str">
        <f t="shared" si="8"/>
        <v/>
      </c>
      <c r="AZ44" s="309" t="str">
        <f t="shared" si="9"/>
        <v/>
      </c>
      <c r="BA44" s="309">
        <f t="shared" si="10"/>
        <v>13</v>
      </c>
      <c r="BB44" s="309" t="str">
        <f t="shared" si="11"/>
        <v/>
      </c>
      <c r="BC44" s="309" t="str">
        <f t="shared" si="12"/>
        <v/>
      </c>
      <c r="BD44" s="309" t="str">
        <f t="shared" si="13"/>
        <v/>
      </c>
      <c r="BE44" s="309">
        <f t="shared" si="14"/>
        <v>85</v>
      </c>
      <c r="BF44" s="309" t="str">
        <f t="shared" si="15"/>
        <v/>
      </c>
      <c r="BG44" s="309" t="str">
        <f t="shared" si="16"/>
        <v/>
      </c>
      <c r="BH44" s="309" t="str">
        <f t="shared" si="17"/>
        <v/>
      </c>
      <c r="BI44" s="309">
        <f t="shared" si="18"/>
        <v>9</v>
      </c>
      <c r="BJ44" s="309" t="str">
        <f t="shared" si="19"/>
        <v/>
      </c>
      <c r="BK44" s="309" t="str">
        <f t="shared" si="19"/>
        <v/>
      </c>
      <c r="BL44" s="309" t="str">
        <f t="shared" si="19"/>
        <v/>
      </c>
      <c r="BM44" s="309">
        <f t="shared" si="20"/>
        <v>5</v>
      </c>
      <c r="BN44" s="309" t="str">
        <f t="shared" si="21"/>
        <v/>
      </c>
      <c r="BO44" s="309" t="str">
        <f t="shared" si="21"/>
        <v/>
      </c>
      <c r="BP44" s="309" t="str">
        <f t="shared" si="21"/>
        <v/>
      </c>
      <c r="BQ44" s="309">
        <f t="shared" si="22"/>
        <v>10</v>
      </c>
      <c r="BR44" s="309" t="str">
        <f t="shared" si="23"/>
        <v/>
      </c>
      <c r="BS44" s="309" t="str">
        <f t="shared" si="23"/>
        <v/>
      </c>
      <c r="BT44" s="309" t="str">
        <f t="shared" si="23"/>
        <v/>
      </c>
      <c r="BU44" s="309">
        <f t="shared" si="24"/>
        <v>3</v>
      </c>
      <c r="BV44" s="309" t="str">
        <f t="shared" si="25"/>
        <v/>
      </c>
      <c r="BW44" s="309" t="str">
        <f t="shared" si="26"/>
        <v/>
      </c>
      <c r="BX44" s="309" t="str">
        <f t="shared" si="27"/>
        <v/>
      </c>
      <c r="BY44" s="309">
        <f t="shared" si="28"/>
        <v>9</v>
      </c>
      <c r="BZ44" s="309" t="str">
        <f t="shared" si="29"/>
        <v/>
      </c>
      <c r="CA44" s="309" t="str">
        <f t="shared" si="30"/>
        <v/>
      </c>
      <c r="CB44" s="309" t="str">
        <f t="shared" si="31"/>
        <v/>
      </c>
      <c r="CC44" s="309">
        <f t="shared" si="32"/>
        <v>5</v>
      </c>
      <c r="CD44" s="309" t="str">
        <f t="shared" ca="1" si="33"/>
        <v/>
      </c>
      <c r="CE44" s="309" t="str">
        <f t="shared" ca="1" si="34"/>
        <v/>
      </c>
      <c r="CF44" s="309" t="str">
        <f t="shared" ca="1" si="35"/>
        <v/>
      </c>
      <c r="CG44" s="309">
        <f t="shared" ca="1" si="36"/>
        <v>3</v>
      </c>
      <c r="CH44" s="309" t="str">
        <f t="shared" ca="1" si="37"/>
        <v/>
      </c>
      <c r="CI44" s="309" t="str">
        <f t="shared" ca="1" si="38"/>
        <v/>
      </c>
      <c r="CJ44" s="309" t="str">
        <f t="shared" ca="1" si="39"/>
        <v/>
      </c>
      <c r="CK44" s="309">
        <f t="shared" ca="1" si="40"/>
        <v>3</v>
      </c>
    </row>
    <row r="45" spans="1:89" s="313" customFormat="1" outlineLevel="1" x14ac:dyDescent="0.25">
      <c r="A45" s="312" t="s">
        <v>95</v>
      </c>
      <c r="E45" s="313">
        <f t="shared" si="2"/>
        <v>-41</v>
      </c>
      <c r="F45" s="313" t="str">
        <f t="shared" si="2"/>
        <v/>
      </c>
      <c r="G45" s="313" t="str">
        <f t="shared" si="2"/>
        <v/>
      </c>
      <c r="H45" s="313" t="str">
        <f t="shared" si="2"/>
        <v/>
      </c>
      <c r="I45" s="313">
        <f t="shared" si="2"/>
        <v>-113</v>
      </c>
      <c r="J45" s="313" t="str">
        <f t="shared" si="2"/>
        <v/>
      </c>
      <c r="K45" s="313" t="str">
        <f t="shared" si="2"/>
        <v/>
      </c>
      <c r="L45" s="313" t="str">
        <f t="shared" si="2"/>
        <v/>
      </c>
      <c r="M45" s="313">
        <f t="shared" si="2"/>
        <v>-68</v>
      </c>
      <c r="N45" s="313" t="str">
        <f t="shared" si="2"/>
        <v/>
      </c>
      <c r="O45" s="313" t="str">
        <f t="shared" si="3"/>
        <v/>
      </c>
      <c r="P45" s="313" t="str">
        <f t="shared" si="3"/>
        <v/>
      </c>
      <c r="Q45" s="313">
        <f t="shared" si="3"/>
        <v>-22</v>
      </c>
      <c r="R45" s="313" t="str">
        <f t="shared" si="3"/>
        <v/>
      </c>
      <c r="S45" s="313" t="str">
        <f t="shared" si="3"/>
        <v/>
      </c>
      <c r="T45" s="313" t="str">
        <f t="shared" si="3"/>
        <v/>
      </c>
      <c r="U45" s="313">
        <f t="shared" si="3"/>
        <v>-15</v>
      </c>
      <c r="V45" s="313" t="str">
        <f t="shared" si="3"/>
        <v/>
      </c>
      <c r="W45" s="313" t="str">
        <f t="shared" si="3"/>
        <v/>
      </c>
      <c r="X45" s="313" t="str">
        <f t="shared" si="3"/>
        <v/>
      </c>
      <c r="Y45" s="313">
        <f t="shared" si="4"/>
        <v>-17</v>
      </c>
      <c r="Z45" s="313" t="str">
        <f t="shared" si="4"/>
        <v/>
      </c>
      <c r="AA45" s="313" t="str">
        <f t="shared" si="4"/>
        <v/>
      </c>
      <c r="AB45" s="313" t="str">
        <f t="shared" si="4"/>
        <v/>
      </c>
      <c r="AC45" s="313">
        <f t="shared" si="4"/>
        <v>-13</v>
      </c>
      <c r="AD45" s="313" t="str">
        <f t="shared" si="4"/>
        <v/>
      </c>
      <c r="AE45" s="313" t="str">
        <f t="shared" si="4"/>
        <v/>
      </c>
      <c r="AF45" s="313" t="str">
        <f t="shared" si="4"/>
        <v/>
      </c>
      <c r="AG45" s="313">
        <f t="shared" si="4"/>
        <v>-3</v>
      </c>
      <c r="AH45" s="313" t="str">
        <f t="shared" si="4"/>
        <v/>
      </c>
      <c r="AI45" s="313" t="str">
        <f t="shared" si="5"/>
        <v/>
      </c>
      <c r="AJ45" s="313" t="str">
        <f t="shared" si="5"/>
        <v/>
      </c>
      <c r="AK45" s="313">
        <f t="shared" si="5"/>
        <v>-18</v>
      </c>
      <c r="AL45" s="313" t="str">
        <f t="shared" si="5"/>
        <v/>
      </c>
      <c r="AM45" s="313" t="str">
        <f t="shared" si="5"/>
        <v/>
      </c>
      <c r="AN45" s="313" t="str">
        <f t="shared" si="5"/>
        <v/>
      </c>
      <c r="AO45" s="313">
        <f t="shared" si="5"/>
        <v>-13</v>
      </c>
      <c r="AP45" s="313" t="str">
        <f t="shared" si="5"/>
        <v/>
      </c>
      <c r="AQ45" s="313" t="str">
        <f t="shared" si="5"/>
        <v/>
      </c>
      <c r="AR45" s="313" t="str">
        <f t="shared" si="5"/>
        <v/>
      </c>
      <c r="AS45" s="313">
        <f t="shared" si="6"/>
        <v>-4</v>
      </c>
      <c r="AT45" s="313" t="str">
        <f t="shared" si="6"/>
        <v/>
      </c>
      <c r="AU45" s="313" t="str">
        <f t="shared" si="6"/>
        <v/>
      </c>
      <c r="AV45" s="313" t="str">
        <f t="shared" si="6"/>
        <v/>
      </c>
      <c r="AW45" s="313">
        <f t="shared" si="6"/>
        <v>-6</v>
      </c>
      <c r="AX45" s="313" t="str">
        <f t="shared" si="7"/>
        <v/>
      </c>
      <c r="AY45" s="313" t="str">
        <f t="shared" si="8"/>
        <v/>
      </c>
      <c r="AZ45" s="313" t="str">
        <f t="shared" si="9"/>
        <v/>
      </c>
      <c r="BA45" s="313">
        <f t="shared" si="10"/>
        <v>-4</v>
      </c>
      <c r="BB45" s="313" t="str">
        <f t="shared" si="11"/>
        <v/>
      </c>
      <c r="BC45" s="313" t="str">
        <f t="shared" si="12"/>
        <v/>
      </c>
      <c r="BD45" s="313" t="str">
        <f t="shared" si="13"/>
        <v/>
      </c>
      <c r="BE45" s="313">
        <f t="shared" si="14"/>
        <v>0</v>
      </c>
      <c r="BF45" s="313" t="str">
        <f t="shared" si="15"/>
        <v/>
      </c>
      <c r="BG45" s="313" t="str">
        <f t="shared" si="16"/>
        <v/>
      </c>
      <c r="BH45" s="313" t="str">
        <f t="shared" si="17"/>
        <v/>
      </c>
      <c r="BI45" s="313">
        <f t="shared" si="18"/>
        <v>-3</v>
      </c>
      <c r="BJ45" s="313" t="str">
        <f t="shared" si="19"/>
        <v/>
      </c>
      <c r="BK45" s="313" t="str">
        <f t="shared" si="19"/>
        <v/>
      </c>
      <c r="BL45" s="313" t="str">
        <f t="shared" si="19"/>
        <v/>
      </c>
      <c r="BM45" s="313">
        <f t="shared" si="20"/>
        <v>-8</v>
      </c>
      <c r="BN45" s="313" t="str">
        <f t="shared" si="21"/>
        <v/>
      </c>
      <c r="BO45" s="313" t="str">
        <f t="shared" si="21"/>
        <v/>
      </c>
      <c r="BP45" s="313" t="str">
        <f t="shared" si="21"/>
        <v/>
      </c>
      <c r="BQ45" s="313">
        <f t="shared" si="22"/>
        <v>-2</v>
      </c>
      <c r="BR45" s="313" t="str">
        <f t="shared" si="23"/>
        <v/>
      </c>
      <c r="BS45" s="313" t="str">
        <f t="shared" si="23"/>
        <v/>
      </c>
      <c r="BT45" s="313" t="str">
        <f t="shared" si="23"/>
        <v/>
      </c>
      <c r="BU45" s="313">
        <f t="shared" si="24"/>
        <v>-20</v>
      </c>
      <c r="BV45" s="313" t="str">
        <f t="shared" si="25"/>
        <v/>
      </c>
      <c r="BW45" s="313" t="str">
        <f t="shared" si="26"/>
        <v/>
      </c>
      <c r="BX45" s="313" t="str">
        <f t="shared" si="27"/>
        <v/>
      </c>
      <c r="BY45" s="313">
        <f t="shared" si="28"/>
        <v>-11</v>
      </c>
      <c r="BZ45" s="313" t="str">
        <f t="shared" si="29"/>
        <v/>
      </c>
      <c r="CA45" s="313" t="str">
        <f t="shared" si="30"/>
        <v/>
      </c>
      <c r="CB45" s="313" t="str">
        <f t="shared" si="31"/>
        <v/>
      </c>
      <c r="CC45" s="313">
        <f t="shared" si="32"/>
        <v>-7</v>
      </c>
      <c r="CD45" s="313" t="str">
        <f t="shared" ca="1" si="33"/>
        <v/>
      </c>
      <c r="CE45" s="313" t="str">
        <f t="shared" ca="1" si="34"/>
        <v/>
      </c>
      <c r="CF45" s="313" t="str">
        <f t="shared" ca="1" si="35"/>
        <v/>
      </c>
      <c r="CG45" s="313">
        <f t="shared" ca="1" si="36"/>
        <v>-9</v>
      </c>
      <c r="CH45" s="313" t="str">
        <f t="shared" ca="1" si="37"/>
        <v/>
      </c>
      <c r="CI45" s="313" t="str">
        <f t="shared" ca="1" si="38"/>
        <v/>
      </c>
      <c r="CJ45" s="313" t="str">
        <f t="shared" ca="1" si="39"/>
        <v/>
      </c>
      <c r="CK45" s="313">
        <f t="shared" ca="1" si="40"/>
        <v>0</v>
      </c>
    </row>
    <row r="46" spans="1:89" s="315" customFormat="1" outlineLevel="1" x14ac:dyDescent="0.25">
      <c r="A46" s="314" t="s">
        <v>96</v>
      </c>
      <c r="E46" s="315">
        <f t="shared" si="2"/>
        <v>20</v>
      </c>
      <c r="F46" s="315" t="str">
        <f t="shared" si="2"/>
        <v/>
      </c>
      <c r="G46" s="315" t="str">
        <f t="shared" si="2"/>
        <v/>
      </c>
      <c r="H46" s="315" t="str">
        <f t="shared" si="2"/>
        <v/>
      </c>
      <c r="I46" s="315">
        <f t="shared" si="2"/>
        <v>14</v>
      </c>
      <c r="J46" s="315" t="str">
        <f t="shared" si="2"/>
        <v/>
      </c>
      <c r="K46" s="315" t="str">
        <f t="shared" si="2"/>
        <v/>
      </c>
      <c r="L46" s="315" t="str">
        <f t="shared" si="2"/>
        <v/>
      </c>
      <c r="M46" s="315">
        <f t="shared" si="2"/>
        <v>6</v>
      </c>
      <c r="N46" s="315" t="str">
        <f t="shared" si="2"/>
        <v/>
      </c>
      <c r="O46" s="315" t="str">
        <f t="shared" si="3"/>
        <v/>
      </c>
      <c r="P46" s="315" t="str">
        <f t="shared" si="3"/>
        <v/>
      </c>
      <c r="Q46" s="315">
        <f t="shared" si="3"/>
        <v>15</v>
      </c>
      <c r="R46" s="315" t="str">
        <f t="shared" si="3"/>
        <v/>
      </c>
      <c r="S46" s="315" t="str">
        <f t="shared" si="3"/>
        <v/>
      </c>
      <c r="T46" s="315" t="str">
        <f t="shared" si="3"/>
        <v/>
      </c>
      <c r="U46" s="315">
        <f t="shared" si="3"/>
        <v>24</v>
      </c>
      <c r="V46" s="315" t="str">
        <f t="shared" si="3"/>
        <v/>
      </c>
      <c r="W46" s="315" t="str">
        <f t="shared" si="3"/>
        <v/>
      </c>
      <c r="X46" s="315" t="str">
        <f t="shared" si="3"/>
        <v/>
      </c>
      <c r="Y46" s="315">
        <f t="shared" si="4"/>
        <v>20</v>
      </c>
      <c r="Z46" s="315" t="str">
        <f t="shared" si="4"/>
        <v/>
      </c>
      <c r="AA46" s="315" t="str">
        <f t="shared" si="4"/>
        <v/>
      </c>
      <c r="AB46" s="315" t="str">
        <f t="shared" si="4"/>
        <v/>
      </c>
      <c r="AC46" s="315">
        <f t="shared" si="4"/>
        <v>26</v>
      </c>
      <c r="AD46" s="315" t="str">
        <f t="shared" si="4"/>
        <v/>
      </c>
      <c r="AE46" s="315" t="str">
        <f t="shared" si="4"/>
        <v/>
      </c>
      <c r="AF46" s="315" t="str">
        <f t="shared" si="4"/>
        <v/>
      </c>
      <c r="AG46" s="315">
        <f t="shared" si="4"/>
        <v>13</v>
      </c>
      <c r="AH46" s="315" t="str">
        <f t="shared" si="4"/>
        <v/>
      </c>
      <c r="AI46" s="315" t="str">
        <f t="shared" si="5"/>
        <v/>
      </c>
      <c r="AJ46" s="315" t="str">
        <f t="shared" si="5"/>
        <v/>
      </c>
      <c r="AK46" s="315">
        <f t="shared" si="5"/>
        <v>12</v>
      </c>
      <c r="AL46" s="315" t="str">
        <f t="shared" si="5"/>
        <v/>
      </c>
      <c r="AM46" s="315" t="str">
        <f t="shared" si="5"/>
        <v/>
      </c>
      <c r="AN46" s="315" t="str">
        <f t="shared" si="5"/>
        <v/>
      </c>
      <c r="AO46" s="315">
        <f t="shared" si="5"/>
        <v>15</v>
      </c>
      <c r="AP46" s="315" t="str">
        <f t="shared" si="5"/>
        <v/>
      </c>
      <c r="AQ46" s="315" t="str">
        <f t="shared" si="5"/>
        <v/>
      </c>
      <c r="AR46" s="315" t="str">
        <f t="shared" si="5"/>
        <v/>
      </c>
      <c r="AS46" s="315">
        <f t="shared" si="6"/>
        <v>18</v>
      </c>
      <c r="AT46" s="315" t="str">
        <f t="shared" si="6"/>
        <v/>
      </c>
      <c r="AU46" s="315" t="str">
        <f t="shared" si="6"/>
        <v/>
      </c>
      <c r="AV46" s="315" t="str">
        <f t="shared" si="6"/>
        <v/>
      </c>
      <c r="AW46" s="315">
        <f t="shared" si="6"/>
        <v>10</v>
      </c>
      <c r="AX46" s="315" t="str">
        <f t="shared" si="7"/>
        <v/>
      </c>
      <c r="AY46" s="315" t="str">
        <f t="shared" si="8"/>
        <v/>
      </c>
      <c r="AZ46" s="315" t="str">
        <f t="shared" si="9"/>
        <v/>
      </c>
      <c r="BA46" s="315">
        <f t="shared" si="10"/>
        <v>37</v>
      </c>
      <c r="BB46" s="315" t="str">
        <f t="shared" si="11"/>
        <v/>
      </c>
      <c r="BC46" s="315" t="str">
        <f t="shared" si="12"/>
        <v/>
      </c>
      <c r="BD46" s="315" t="str">
        <f t="shared" si="13"/>
        <v/>
      </c>
      <c r="BE46" s="315">
        <f t="shared" si="14"/>
        <v>6</v>
      </c>
      <c r="BF46" s="315" t="str">
        <f t="shared" si="15"/>
        <v/>
      </c>
      <c r="BG46" s="315" t="str">
        <f t="shared" si="16"/>
        <v/>
      </c>
      <c r="BH46" s="315" t="str">
        <f t="shared" si="17"/>
        <v/>
      </c>
      <c r="BI46" s="315">
        <f t="shared" si="18"/>
        <v>20</v>
      </c>
      <c r="BJ46" s="315" t="str">
        <f t="shared" si="19"/>
        <v/>
      </c>
      <c r="BK46" s="315" t="str">
        <f t="shared" si="19"/>
        <v/>
      </c>
      <c r="BL46" s="315" t="str">
        <f t="shared" si="19"/>
        <v/>
      </c>
      <c r="BM46" s="315">
        <f t="shared" si="20"/>
        <v>31</v>
      </c>
      <c r="BN46" s="315" t="str">
        <f t="shared" si="21"/>
        <v/>
      </c>
      <c r="BO46" s="315" t="str">
        <f t="shared" si="21"/>
        <v/>
      </c>
      <c r="BP46" s="315" t="str">
        <f t="shared" si="21"/>
        <v/>
      </c>
      <c r="BQ46" s="315">
        <f t="shared" si="22"/>
        <v>17</v>
      </c>
      <c r="BR46" s="315" t="str">
        <f t="shared" si="23"/>
        <v/>
      </c>
      <c r="BS46" s="315" t="str">
        <f t="shared" si="23"/>
        <v/>
      </c>
      <c r="BT46" s="315" t="str">
        <f t="shared" si="23"/>
        <v/>
      </c>
      <c r="BU46" s="315">
        <f t="shared" si="24"/>
        <v>26</v>
      </c>
      <c r="BV46" s="315" t="str">
        <f t="shared" si="25"/>
        <v/>
      </c>
      <c r="BW46" s="315" t="str">
        <f t="shared" si="26"/>
        <v/>
      </c>
      <c r="BX46" s="315" t="str">
        <f t="shared" si="27"/>
        <v/>
      </c>
      <c r="BY46" s="315">
        <f t="shared" si="28"/>
        <v>20</v>
      </c>
      <c r="BZ46" s="315" t="str">
        <f t="shared" si="29"/>
        <v/>
      </c>
      <c r="CA46" s="315" t="str">
        <f t="shared" si="30"/>
        <v/>
      </c>
      <c r="CB46" s="315" t="str">
        <f t="shared" si="31"/>
        <v/>
      </c>
      <c r="CC46" s="315">
        <f t="shared" si="32"/>
        <v>2</v>
      </c>
      <c r="CD46" s="315" t="str">
        <f t="shared" ca="1" si="33"/>
        <v/>
      </c>
      <c r="CE46" s="315" t="str">
        <f t="shared" ca="1" si="34"/>
        <v/>
      </c>
      <c r="CF46" s="315" t="str">
        <f t="shared" ca="1" si="35"/>
        <v/>
      </c>
      <c r="CG46" s="315">
        <f t="shared" ca="1" si="36"/>
        <v>15</v>
      </c>
      <c r="CH46" s="315" t="str">
        <f t="shared" ca="1" si="37"/>
        <v/>
      </c>
      <c r="CI46" s="315" t="str">
        <f t="shared" ca="1" si="38"/>
        <v/>
      </c>
      <c r="CJ46" s="315" t="str">
        <f t="shared" ca="1" si="39"/>
        <v/>
      </c>
      <c r="CK46" s="315">
        <f t="shared" ca="1" si="40"/>
        <v>2</v>
      </c>
    </row>
    <row r="47" spans="1:89" s="313" customFormat="1" outlineLevel="1" x14ac:dyDescent="0.25">
      <c r="A47" s="312" t="s">
        <v>97</v>
      </c>
      <c r="E47" s="313">
        <f t="shared" si="2"/>
        <v>-81</v>
      </c>
      <c r="F47" s="313" t="str">
        <f t="shared" si="2"/>
        <v/>
      </c>
      <c r="G47" s="313" t="str">
        <f t="shared" si="2"/>
        <v/>
      </c>
      <c r="H47" s="313" t="str">
        <f t="shared" si="2"/>
        <v/>
      </c>
      <c r="I47" s="313">
        <f t="shared" si="2"/>
        <v>-111</v>
      </c>
      <c r="J47" s="313" t="str">
        <f t="shared" si="2"/>
        <v/>
      </c>
      <c r="K47" s="313" t="str">
        <f t="shared" si="2"/>
        <v/>
      </c>
      <c r="L47" s="313" t="str">
        <f t="shared" si="2"/>
        <v/>
      </c>
      <c r="M47" s="313">
        <f t="shared" si="2"/>
        <v>-106</v>
      </c>
      <c r="N47" s="313" t="str">
        <f t="shared" si="2"/>
        <v/>
      </c>
      <c r="O47" s="313" t="str">
        <f t="shared" si="3"/>
        <v/>
      </c>
      <c r="P47" s="313" t="str">
        <f t="shared" si="3"/>
        <v/>
      </c>
      <c r="Q47" s="313">
        <f t="shared" si="3"/>
        <v>-19</v>
      </c>
      <c r="R47" s="313" t="str">
        <f t="shared" si="3"/>
        <v/>
      </c>
      <c r="S47" s="313" t="str">
        <f t="shared" si="3"/>
        <v/>
      </c>
      <c r="T47" s="313" t="str">
        <f t="shared" si="3"/>
        <v/>
      </c>
      <c r="U47" s="313">
        <f t="shared" si="3"/>
        <v>-29</v>
      </c>
      <c r="V47" s="313" t="str">
        <f t="shared" si="3"/>
        <v/>
      </c>
      <c r="W47" s="313" t="str">
        <f t="shared" si="3"/>
        <v/>
      </c>
      <c r="X47" s="313" t="str">
        <f t="shared" si="3"/>
        <v/>
      </c>
      <c r="Y47" s="313">
        <f t="shared" si="4"/>
        <v>-20</v>
      </c>
      <c r="Z47" s="313" t="str">
        <f t="shared" si="4"/>
        <v/>
      </c>
      <c r="AA47" s="313" t="str">
        <f t="shared" si="4"/>
        <v/>
      </c>
      <c r="AB47" s="313" t="str">
        <f t="shared" si="4"/>
        <v/>
      </c>
      <c r="AC47" s="313">
        <f t="shared" si="4"/>
        <v>-22</v>
      </c>
      <c r="AD47" s="313" t="str">
        <f t="shared" si="4"/>
        <v/>
      </c>
      <c r="AE47" s="313" t="str">
        <f t="shared" si="4"/>
        <v/>
      </c>
      <c r="AF47" s="313" t="str">
        <f t="shared" si="4"/>
        <v/>
      </c>
      <c r="AG47" s="313">
        <f t="shared" si="4"/>
        <v>-14</v>
      </c>
      <c r="AH47" s="313" t="str">
        <f t="shared" si="4"/>
        <v/>
      </c>
      <c r="AI47" s="313" t="str">
        <f t="shared" si="5"/>
        <v/>
      </c>
      <c r="AJ47" s="313" t="str">
        <f t="shared" si="5"/>
        <v/>
      </c>
      <c r="AK47" s="313">
        <f t="shared" si="5"/>
        <v>-8</v>
      </c>
      <c r="AL47" s="313" t="str">
        <f t="shared" si="5"/>
        <v/>
      </c>
      <c r="AM47" s="313" t="str">
        <f t="shared" si="5"/>
        <v/>
      </c>
      <c r="AN47" s="313" t="str">
        <f t="shared" si="5"/>
        <v/>
      </c>
      <c r="AO47" s="313">
        <f t="shared" si="5"/>
        <v>-21</v>
      </c>
      <c r="AP47" s="313" t="str">
        <f t="shared" si="5"/>
        <v/>
      </c>
      <c r="AQ47" s="313" t="str">
        <f t="shared" si="5"/>
        <v/>
      </c>
      <c r="AR47" s="313" t="str">
        <f t="shared" si="5"/>
        <v/>
      </c>
      <c r="AS47" s="313">
        <f t="shared" si="6"/>
        <v>-6</v>
      </c>
      <c r="AT47" s="313" t="str">
        <f t="shared" si="6"/>
        <v/>
      </c>
      <c r="AU47" s="313" t="str">
        <f t="shared" si="6"/>
        <v/>
      </c>
      <c r="AV47" s="313" t="str">
        <f t="shared" si="6"/>
        <v/>
      </c>
      <c r="AW47" s="313">
        <f t="shared" si="6"/>
        <v>-20</v>
      </c>
      <c r="AX47" s="313" t="str">
        <f t="shared" si="7"/>
        <v/>
      </c>
      <c r="AY47" s="313" t="str">
        <f t="shared" si="8"/>
        <v/>
      </c>
      <c r="AZ47" s="313" t="str">
        <f t="shared" si="9"/>
        <v/>
      </c>
      <c r="BA47" s="313">
        <f t="shared" si="10"/>
        <v>-3</v>
      </c>
      <c r="BB47" s="313" t="str">
        <f t="shared" si="11"/>
        <v/>
      </c>
      <c r="BC47" s="313" t="str">
        <f t="shared" si="12"/>
        <v/>
      </c>
      <c r="BD47" s="313" t="str">
        <f t="shared" si="13"/>
        <v/>
      </c>
      <c r="BE47" s="313">
        <f t="shared" si="14"/>
        <v>-1</v>
      </c>
      <c r="BF47" s="313" t="str">
        <f t="shared" si="15"/>
        <v/>
      </c>
      <c r="BG47" s="313" t="str">
        <f t="shared" si="16"/>
        <v/>
      </c>
      <c r="BH47" s="313" t="str">
        <f t="shared" si="17"/>
        <v/>
      </c>
      <c r="BI47" s="313">
        <f t="shared" si="18"/>
        <v>-7</v>
      </c>
      <c r="BJ47" s="313" t="str">
        <f t="shared" si="19"/>
        <v/>
      </c>
      <c r="BK47" s="313" t="str">
        <f t="shared" si="19"/>
        <v/>
      </c>
      <c r="BL47" s="313" t="str">
        <f t="shared" si="19"/>
        <v/>
      </c>
      <c r="BM47" s="313">
        <f t="shared" si="20"/>
        <v>-7</v>
      </c>
      <c r="BN47" s="313" t="str">
        <f t="shared" si="21"/>
        <v/>
      </c>
      <c r="BO47" s="313" t="str">
        <f t="shared" si="21"/>
        <v/>
      </c>
      <c r="BP47" s="313" t="str">
        <f t="shared" si="21"/>
        <v/>
      </c>
      <c r="BQ47" s="313">
        <f t="shared" si="22"/>
        <v>-8</v>
      </c>
      <c r="BR47" s="313" t="str">
        <f t="shared" si="23"/>
        <v/>
      </c>
      <c r="BS47" s="313" t="str">
        <f t="shared" si="23"/>
        <v/>
      </c>
      <c r="BT47" s="313" t="str">
        <f t="shared" si="23"/>
        <v/>
      </c>
      <c r="BU47" s="313">
        <f t="shared" si="24"/>
        <v>-11</v>
      </c>
      <c r="BV47" s="313" t="str">
        <f t="shared" si="25"/>
        <v/>
      </c>
      <c r="BW47" s="313" t="str">
        <f t="shared" si="26"/>
        <v/>
      </c>
      <c r="BX47" s="313" t="str">
        <f t="shared" si="27"/>
        <v/>
      </c>
      <c r="BY47" s="313">
        <f t="shared" si="28"/>
        <v>-14</v>
      </c>
      <c r="BZ47" s="313" t="str">
        <f t="shared" si="29"/>
        <v/>
      </c>
      <c r="CA47" s="313" t="str">
        <f t="shared" si="30"/>
        <v/>
      </c>
      <c r="CB47" s="313" t="str">
        <f t="shared" si="31"/>
        <v/>
      </c>
      <c r="CC47" s="313">
        <f t="shared" si="32"/>
        <v>-21</v>
      </c>
      <c r="CD47" s="313" t="str">
        <f t="shared" ca="1" si="33"/>
        <v/>
      </c>
      <c r="CE47" s="313" t="str">
        <f t="shared" ca="1" si="34"/>
        <v/>
      </c>
      <c r="CF47" s="313" t="str">
        <f t="shared" ca="1" si="35"/>
        <v/>
      </c>
      <c r="CG47" s="313">
        <f t="shared" ca="1" si="36"/>
        <v>-19</v>
      </c>
      <c r="CH47" s="313" t="str">
        <f t="shared" ca="1" si="37"/>
        <v/>
      </c>
      <c r="CI47" s="313" t="str">
        <f t="shared" ca="1" si="38"/>
        <v/>
      </c>
      <c r="CJ47" s="313" t="str">
        <f t="shared" ca="1" si="39"/>
        <v/>
      </c>
      <c r="CK47" s="313">
        <f t="shared" ca="1" si="40"/>
        <v>0</v>
      </c>
    </row>
    <row r="48" spans="1:89" s="122" customFormat="1" outlineLevel="1" x14ac:dyDescent="0.25">
      <c r="B48" s="123"/>
      <c r="C48" s="123"/>
      <c r="D48" s="123"/>
      <c r="E48" s="123"/>
      <c r="F48" s="124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</row>
    <row r="49" spans="1:89" s="122" customFormat="1" outlineLevel="1" x14ac:dyDescent="0.25">
      <c r="B49" s="123"/>
      <c r="C49" s="123"/>
      <c r="D49" s="123"/>
      <c r="E49" s="123"/>
      <c r="F49" s="124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</row>
    <row r="50" spans="1:89" s="309" customFormat="1" outlineLevel="1" x14ac:dyDescent="0.25">
      <c r="A50" s="308" t="s">
        <v>99</v>
      </c>
      <c r="E50" s="309">
        <f t="shared" ref="E50:AR50" si="41">IF( LEN( E42 ) = 0, "", ABS( E42 ) + ABS( E43 ) )</f>
        <v>38</v>
      </c>
      <c r="F50" s="309" t="str">
        <f t="shared" si="41"/>
        <v/>
      </c>
      <c r="G50" s="309" t="str">
        <f t="shared" si="41"/>
        <v/>
      </c>
      <c r="H50" s="309" t="str">
        <f t="shared" si="41"/>
        <v/>
      </c>
      <c r="I50" s="309">
        <f t="shared" si="41"/>
        <v>57</v>
      </c>
      <c r="J50" s="309" t="str">
        <f t="shared" si="41"/>
        <v/>
      </c>
      <c r="K50" s="309" t="str">
        <f t="shared" si="41"/>
        <v/>
      </c>
      <c r="L50" s="309" t="str">
        <f t="shared" si="41"/>
        <v/>
      </c>
      <c r="M50" s="309">
        <f t="shared" si="41"/>
        <v>62</v>
      </c>
      <c r="N50" s="309" t="str">
        <f t="shared" si="41"/>
        <v/>
      </c>
      <c r="O50" s="309" t="str">
        <f t="shared" si="41"/>
        <v/>
      </c>
      <c r="P50" s="309" t="str">
        <f t="shared" si="41"/>
        <v/>
      </c>
      <c r="Q50" s="309">
        <f t="shared" si="41"/>
        <v>34</v>
      </c>
      <c r="R50" s="309" t="str">
        <f t="shared" si="41"/>
        <v/>
      </c>
      <c r="S50" s="309" t="str">
        <f t="shared" si="41"/>
        <v/>
      </c>
      <c r="T50" s="309" t="str">
        <f t="shared" si="41"/>
        <v/>
      </c>
      <c r="U50" s="309">
        <f t="shared" si="41"/>
        <v>22</v>
      </c>
      <c r="V50" s="309" t="str">
        <f t="shared" si="41"/>
        <v/>
      </c>
      <c r="W50" s="309" t="str">
        <f t="shared" si="41"/>
        <v/>
      </c>
      <c r="X50" s="309" t="str">
        <f t="shared" si="41"/>
        <v/>
      </c>
      <c r="Y50" s="309">
        <f t="shared" si="41"/>
        <v>31</v>
      </c>
      <c r="Z50" s="309" t="str">
        <f t="shared" si="41"/>
        <v/>
      </c>
      <c r="AA50" s="309" t="str">
        <f t="shared" si="41"/>
        <v/>
      </c>
      <c r="AB50" s="309" t="str">
        <f t="shared" si="41"/>
        <v/>
      </c>
      <c r="AC50" s="309">
        <f t="shared" si="41"/>
        <v>41</v>
      </c>
      <c r="AD50" s="309" t="str">
        <f t="shared" si="41"/>
        <v/>
      </c>
      <c r="AE50" s="309" t="str">
        <f t="shared" si="41"/>
        <v/>
      </c>
      <c r="AF50" s="309" t="str">
        <f t="shared" si="41"/>
        <v/>
      </c>
      <c r="AG50" s="309">
        <f t="shared" si="41"/>
        <v>17</v>
      </c>
      <c r="AH50" s="309" t="str">
        <f t="shared" si="41"/>
        <v/>
      </c>
      <c r="AI50" s="309" t="str">
        <f t="shared" si="41"/>
        <v/>
      </c>
      <c r="AJ50" s="309" t="str">
        <f t="shared" si="41"/>
        <v/>
      </c>
      <c r="AK50" s="309">
        <f t="shared" si="41"/>
        <v>14</v>
      </c>
      <c r="AL50" s="309" t="str">
        <f t="shared" si="41"/>
        <v/>
      </c>
      <c r="AM50" s="309" t="str">
        <f t="shared" si="41"/>
        <v/>
      </c>
      <c r="AN50" s="309" t="str">
        <f t="shared" si="41"/>
        <v/>
      </c>
      <c r="AO50" s="309">
        <f t="shared" si="41"/>
        <v>24</v>
      </c>
      <c r="AP50" s="309" t="str">
        <f t="shared" si="41"/>
        <v/>
      </c>
      <c r="AQ50" s="309" t="str">
        <f t="shared" si="41"/>
        <v/>
      </c>
      <c r="AR50" s="309" t="str">
        <f t="shared" si="41"/>
        <v/>
      </c>
      <c r="AS50" s="309">
        <f t="shared" ref="AS50:BU50" si="42">IF( LEN( AS42 ) = 0, "", ABS( AS42 ) + ABS( AS43 ) )</f>
        <v>25</v>
      </c>
      <c r="AT50" s="309" t="str">
        <f t="shared" si="42"/>
        <v/>
      </c>
      <c r="AU50" s="309" t="str">
        <f t="shared" si="42"/>
        <v/>
      </c>
      <c r="AV50" s="309" t="str">
        <f t="shared" si="42"/>
        <v/>
      </c>
      <c r="AW50" s="309">
        <f t="shared" si="42"/>
        <v>26</v>
      </c>
      <c r="AX50" s="309" t="str">
        <f t="shared" ref="AX50:BQ50" si="43">IF( LEN( AX42 ) = 0, "", ABS( AX42 ) + ABS( AX43 ) )</f>
        <v/>
      </c>
      <c r="AY50" s="309" t="str">
        <f t="shared" si="43"/>
        <v/>
      </c>
      <c r="AZ50" s="309" t="str">
        <f t="shared" si="43"/>
        <v/>
      </c>
      <c r="BA50" s="309">
        <f t="shared" si="43"/>
        <v>23</v>
      </c>
      <c r="BB50" s="309" t="str">
        <f t="shared" si="43"/>
        <v/>
      </c>
      <c r="BC50" s="309" t="str">
        <f t="shared" si="43"/>
        <v/>
      </c>
      <c r="BD50" s="309" t="str">
        <f t="shared" si="43"/>
        <v/>
      </c>
      <c r="BE50" s="309">
        <f t="shared" si="43"/>
        <v>14</v>
      </c>
      <c r="BF50" s="309" t="str">
        <f t="shared" si="43"/>
        <v/>
      </c>
      <c r="BG50" s="309" t="str">
        <f t="shared" si="43"/>
        <v/>
      </c>
      <c r="BH50" s="309" t="str">
        <f t="shared" si="43"/>
        <v/>
      </c>
      <c r="BI50" s="309">
        <f t="shared" si="43"/>
        <v>11</v>
      </c>
      <c r="BJ50" s="309" t="str">
        <f t="shared" si="43"/>
        <v/>
      </c>
      <c r="BK50" s="309" t="str">
        <f t="shared" si="43"/>
        <v/>
      </c>
      <c r="BL50" s="309" t="str">
        <f t="shared" si="43"/>
        <v/>
      </c>
      <c r="BM50" s="309">
        <f t="shared" si="43"/>
        <v>16</v>
      </c>
      <c r="BN50" s="309" t="str">
        <f t="shared" si="43"/>
        <v/>
      </c>
      <c r="BO50" s="309" t="str">
        <f t="shared" si="43"/>
        <v/>
      </c>
      <c r="BP50" s="309" t="str">
        <f t="shared" si="43"/>
        <v/>
      </c>
      <c r="BQ50" s="309">
        <f t="shared" si="43"/>
        <v>15</v>
      </c>
      <c r="BR50" s="309" t="str">
        <f t="shared" si="42"/>
        <v/>
      </c>
      <c r="BS50" s="309" t="str">
        <f t="shared" si="42"/>
        <v/>
      </c>
      <c r="BT50" s="309" t="str">
        <f t="shared" si="42"/>
        <v/>
      </c>
      <c r="BU50" s="309">
        <f t="shared" si="42"/>
        <v>33</v>
      </c>
      <c r="BV50" s="309" t="str">
        <f t="shared" ref="BV50:CC50" si="44">IF( LEN( BV42 ) = 0, "", ABS( BV42 ) + ABS( BV43 ) )</f>
        <v/>
      </c>
      <c r="BW50" s="309" t="str">
        <f t="shared" si="44"/>
        <v/>
      </c>
      <c r="BX50" s="309" t="str">
        <f t="shared" si="44"/>
        <v/>
      </c>
      <c r="BY50" s="309">
        <f t="shared" si="44"/>
        <v>36</v>
      </c>
      <c r="BZ50" s="309" t="str">
        <f t="shared" si="44"/>
        <v/>
      </c>
      <c r="CA50" s="309" t="str">
        <f t="shared" si="44"/>
        <v/>
      </c>
      <c r="CB50" s="309" t="str">
        <f t="shared" si="44"/>
        <v/>
      </c>
      <c r="CC50" s="309">
        <f t="shared" si="44"/>
        <v>24</v>
      </c>
      <c r="CD50" s="309" t="str">
        <f t="shared" ref="CD50:CG50" ca="1" si="45">IF( LEN( CD42 ) = 0, "", ABS( CD42 ) + ABS( CD43 ) )</f>
        <v/>
      </c>
      <c r="CE50" s="309" t="str">
        <f t="shared" ca="1" si="45"/>
        <v/>
      </c>
      <c r="CF50" s="309" t="str">
        <f t="shared" ca="1" si="45"/>
        <v/>
      </c>
      <c r="CG50" s="309">
        <f t="shared" ca="1" si="45"/>
        <v>6</v>
      </c>
      <c r="CH50" s="309" t="str">
        <f t="shared" ref="CH50:CK50" ca="1" si="46">IF( LEN( CH42 ) = 0, "", ABS( CH42 ) + ABS( CH43 ) )</f>
        <v/>
      </c>
      <c r="CI50" s="309" t="str">
        <f t="shared" ca="1" si="46"/>
        <v/>
      </c>
      <c r="CJ50" s="309" t="str">
        <f t="shared" ca="1" si="46"/>
        <v/>
      </c>
      <c r="CK50" s="309">
        <f t="shared" ca="1" si="46"/>
        <v>7</v>
      </c>
    </row>
    <row r="51" spans="1:89" s="311" customFormat="1" outlineLevel="1" x14ac:dyDescent="0.25">
      <c r="A51" s="310" t="s">
        <v>100</v>
      </c>
      <c r="E51" s="311">
        <f t="shared" ref="E51:AN51" si="47">IF( LEN( E44 ) = 0, "", ABS( E44 ) + ABS( E45 ) )</f>
        <v>68</v>
      </c>
      <c r="F51" s="311" t="str">
        <f t="shared" si="47"/>
        <v/>
      </c>
      <c r="G51" s="311" t="str">
        <f t="shared" si="47"/>
        <v/>
      </c>
      <c r="H51" s="311" t="str">
        <f t="shared" si="47"/>
        <v/>
      </c>
      <c r="I51" s="311">
        <f t="shared" si="47"/>
        <v>118</v>
      </c>
      <c r="J51" s="311" t="str">
        <f t="shared" si="47"/>
        <v/>
      </c>
      <c r="K51" s="311" t="str">
        <f t="shared" si="47"/>
        <v/>
      </c>
      <c r="L51" s="311" t="str">
        <f t="shared" si="47"/>
        <v/>
      </c>
      <c r="M51" s="311">
        <f t="shared" si="47"/>
        <v>79</v>
      </c>
      <c r="N51" s="311" t="str">
        <f t="shared" si="47"/>
        <v/>
      </c>
      <c r="O51" s="311" t="str">
        <f t="shared" si="47"/>
        <v/>
      </c>
      <c r="P51" s="311" t="str">
        <f t="shared" si="47"/>
        <v/>
      </c>
      <c r="Q51" s="311">
        <f t="shared" si="47"/>
        <v>42</v>
      </c>
      <c r="R51" s="311" t="str">
        <f t="shared" si="47"/>
        <v/>
      </c>
      <c r="S51" s="311" t="str">
        <f t="shared" si="47"/>
        <v/>
      </c>
      <c r="T51" s="311" t="str">
        <f t="shared" si="47"/>
        <v/>
      </c>
      <c r="U51" s="311">
        <f t="shared" si="47"/>
        <v>46</v>
      </c>
      <c r="V51" s="311" t="str">
        <f t="shared" si="47"/>
        <v/>
      </c>
      <c r="W51" s="311" t="str">
        <f t="shared" si="47"/>
        <v/>
      </c>
      <c r="X51" s="311" t="str">
        <f t="shared" si="47"/>
        <v/>
      </c>
      <c r="Y51" s="311">
        <f t="shared" si="47"/>
        <v>39</v>
      </c>
      <c r="Z51" s="311" t="str">
        <f t="shared" si="47"/>
        <v/>
      </c>
      <c r="AA51" s="311" t="str">
        <f t="shared" si="47"/>
        <v/>
      </c>
      <c r="AB51" s="311" t="str">
        <f t="shared" si="47"/>
        <v/>
      </c>
      <c r="AC51" s="311">
        <f t="shared" si="47"/>
        <v>32</v>
      </c>
      <c r="AD51" s="311" t="str">
        <f t="shared" si="47"/>
        <v/>
      </c>
      <c r="AE51" s="311" t="str">
        <f t="shared" si="47"/>
        <v/>
      </c>
      <c r="AF51" s="311" t="str">
        <f t="shared" si="47"/>
        <v/>
      </c>
      <c r="AG51" s="311">
        <f t="shared" si="47"/>
        <v>6</v>
      </c>
      <c r="AH51" s="311" t="str">
        <f t="shared" si="47"/>
        <v/>
      </c>
      <c r="AI51" s="311" t="str">
        <f t="shared" si="47"/>
        <v/>
      </c>
      <c r="AJ51" s="311" t="str">
        <f t="shared" si="47"/>
        <v/>
      </c>
      <c r="AK51" s="311">
        <f t="shared" si="47"/>
        <v>23</v>
      </c>
      <c r="AL51" s="311" t="str">
        <f t="shared" si="47"/>
        <v/>
      </c>
      <c r="AM51" s="311" t="str">
        <f t="shared" si="47"/>
        <v/>
      </c>
      <c r="AN51" s="311" t="str">
        <f t="shared" si="47"/>
        <v/>
      </c>
      <c r="AO51" s="311">
        <f>IF( LEN( AO44 ) = 0, "", ABS( AO44 ) + ABS( AO45 ) )</f>
        <v>20</v>
      </c>
      <c r="AP51" s="311" t="str">
        <f t="shared" ref="AP51:AW51" si="48">IF( LEN( AP44 ) = 0, "", ABS( AP44 ) + ABS( AP45 ) )</f>
        <v/>
      </c>
      <c r="AQ51" s="311" t="str">
        <f t="shared" si="48"/>
        <v/>
      </c>
      <c r="AR51" s="311" t="str">
        <f t="shared" si="48"/>
        <v/>
      </c>
      <c r="AS51" s="311">
        <f t="shared" si="48"/>
        <v>11</v>
      </c>
      <c r="AT51" s="311" t="str">
        <f t="shared" si="48"/>
        <v/>
      </c>
      <c r="AU51" s="311" t="str">
        <f t="shared" si="48"/>
        <v/>
      </c>
      <c r="AV51" s="311" t="str">
        <f t="shared" si="48"/>
        <v/>
      </c>
      <c r="AW51" s="311">
        <f t="shared" si="48"/>
        <v>20</v>
      </c>
      <c r="AX51" s="311" t="str">
        <f t="shared" ref="AX51:BU51" si="49">IF( LEN( AX44 ) = 0, "", ABS( AX44 ) + ABS( AX45 ) )</f>
        <v/>
      </c>
      <c r="AY51" s="311" t="str">
        <f t="shared" si="49"/>
        <v/>
      </c>
      <c r="AZ51" s="311" t="str">
        <f t="shared" si="49"/>
        <v/>
      </c>
      <c r="BA51" s="311">
        <f t="shared" si="49"/>
        <v>17</v>
      </c>
      <c r="BB51" s="311" t="str">
        <f t="shared" ref="BB51:BQ51" si="50">IF( LEN( BB44 ) = 0, "", ABS( BB44 ) + ABS( BB45 ) )</f>
        <v/>
      </c>
      <c r="BC51" s="311" t="str">
        <f t="shared" si="50"/>
        <v/>
      </c>
      <c r="BD51" s="311" t="str">
        <f t="shared" si="50"/>
        <v/>
      </c>
      <c r="BE51" s="311">
        <f t="shared" si="50"/>
        <v>85</v>
      </c>
      <c r="BF51" s="311" t="str">
        <f t="shared" si="50"/>
        <v/>
      </c>
      <c r="BG51" s="311" t="str">
        <f t="shared" si="50"/>
        <v/>
      </c>
      <c r="BH51" s="311" t="str">
        <f t="shared" si="50"/>
        <v/>
      </c>
      <c r="BI51" s="311">
        <f t="shared" si="50"/>
        <v>12</v>
      </c>
      <c r="BJ51" s="311" t="str">
        <f t="shared" si="50"/>
        <v/>
      </c>
      <c r="BK51" s="311" t="str">
        <f t="shared" si="50"/>
        <v/>
      </c>
      <c r="BL51" s="311" t="str">
        <f t="shared" si="50"/>
        <v/>
      </c>
      <c r="BM51" s="311">
        <f t="shared" si="50"/>
        <v>13</v>
      </c>
      <c r="BN51" s="311" t="str">
        <f t="shared" si="50"/>
        <v/>
      </c>
      <c r="BO51" s="311" t="str">
        <f t="shared" si="50"/>
        <v/>
      </c>
      <c r="BP51" s="311" t="str">
        <f t="shared" si="50"/>
        <v/>
      </c>
      <c r="BQ51" s="311">
        <f t="shared" si="50"/>
        <v>12</v>
      </c>
      <c r="BR51" s="311" t="str">
        <f t="shared" si="49"/>
        <v/>
      </c>
      <c r="BS51" s="311" t="str">
        <f t="shared" si="49"/>
        <v/>
      </c>
      <c r="BT51" s="311" t="str">
        <f t="shared" si="49"/>
        <v/>
      </c>
      <c r="BU51" s="311">
        <f t="shared" si="49"/>
        <v>23</v>
      </c>
      <c r="BV51" s="311" t="str">
        <f t="shared" ref="BV51:CC51" si="51">IF( LEN( BV44 ) = 0, "", ABS( BV44 ) + ABS( BV45 ) )</f>
        <v/>
      </c>
      <c r="BW51" s="311" t="str">
        <f t="shared" si="51"/>
        <v/>
      </c>
      <c r="BX51" s="311" t="str">
        <f t="shared" si="51"/>
        <v/>
      </c>
      <c r="BY51" s="311">
        <f t="shared" si="51"/>
        <v>20</v>
      </c>
      <c r="BZ51" s="311" t="str">
        <f t="shared" si="51"/>
        <v/>
      </c>
      <c r="CA51" s="311" t="str">
        <f t="shared" si="51"/>
        <v/>
      </c>
      <c r="CB51" s="311" t="str">
        <f t="shared" si="51"/>
        <v/>
      </c>
      <c r="CC51" s="311">
        <f t="shared" si="51"/>
        <v>12</v>
      </c>
      <c r="CD51" s="311" t="str">
        <f t="shared" ref="CD51:CG51" ca="1" si="52">IF( LEN( CD44 ) = 0, "", ABS( CD44 ) + ABS( CD45 ) )</f>
        <v/>
      </c>
      <c r="CE51" s="311" t="str">
        <f t="shared" ca="1" si="52"/>
        <v/>
      </c>
      <c r="CF51" s="311" t="str">
        <f t="shared" ca="1" si="52"/>
        <v/>
      </c>
      <c r="CG51" s="311">
        <f t="shared" ca="1" si="52"/>
        <v>12</v>
      </c>
      <c r="CH51" s="311" t="str">
        <f t="shared" ref="CH51:CK51" ca="1" si="53">IF( LEN( CH44 ) = 0, "", ABS( CH44 ) + ABS( CH45 ) )</f>
        <v/>
      </c>
      <c r="CI51" s="311" t="str">
        <f t="shared" ca="1" si="53"/>
        <v/>
      </c>
      <c r="CJ51" s="311" t="str">
        <f t="shared" ca="1" si="53"/>
        <v/>
      </c>
      <c r="CK51" s="311">
        <f t="shared" ca="1" si="53"/>
        <v>3</v>
      </c>
    </row>
    <row r="52" spans="1:89" s="313" customFormat="1" outlineLevel="1" x14ac:dyDescent="0.25">
      <c r="A52" s="312" t="s">
        <v>101</v>
      </c>
      <c r="E52" s="313">
        <f>IF( LEN( E46 ) = 0, "", ABS( E46 ) + ABS( E47 ) )</f>
        <v>101</v>
      </c>
      <c r="F52" s="313" t="str">
        <f t="shared" ref="F52:AS52" si="54">IF( LEN( F46 ) = 0, "", ABS( F46 ) + ABS( F47 ) )</f>
        <v/>
      </c>
      <c r="G52" s="313" t="str">
        <f t="shared" si="54"/>
        <v/>
      </c>
      <c r="H52" s="313" t="str">
        <f t="shared" si="54"/>
        <v/>
      </c>
      <c r="I52" s="313">
        <f t="shared" si="54"/>
        <v>125</v>
      </c>
      <c r="J52" s="313" t="str">
        <f t="shared" si="54"/>
        <v/>
      </c>
      <c r="K52" s="313" t="str">
        <f t="shared" si="54"/>
        <v/>
      </c>
      <c r="L52" s="313" t="str">
        <f t="shared" si="54"/>
        <v/>
      </c>
      <c r="M52" s="313">
        <f t="shared" si="54"/>
        <v>112</v>
      </c>
      <c r="N52" s="313" t="str">
        <f t="shared" si="54"/>
        <v/>
      </c>
      <c r="O52" s="313" t="str">
        <f t="shared" si="54"/>
        <v/>
      </c>
      <c r="P52" s="313" t="str">
        <f t="shared" si="54"/>
        <v/>
      </c>
      <c r="Q52" s="313">
        <f t="shared" si="54"/>
        <v>34</v>
      </c>
      <c r="R52" s="313" t="str">
        <f t="shared" si="54"/>
        <v/>
      </c>
      <c r="S52" s="313" t="str">
        <f t="shared" si="54"/>
        <v/>
      </c>
      <c r="T52" s="313" t="str">
        <f t="shared" si="54"/>
        <v/>
      </c>
      <c r="U52" s="313">
        <f t="shared" si="54"/>
        <v>53</v>
      </c>
      <c r="V52" s="313" t="str">
        <f t="shared" si="54"/>
        <v/>
      </c>
      <c r="W52" s="313" t="str">
        <f t="shared" si="54"/>
        <v/>
      </c>
      <c r="X52" s="313" t="str">
        <f t="shared" si="54"/>
        <v/>
      </c>
      <c r="Y52" s="313">
        <f t="shared" si="54"/>
        <v>40</v>
      </c>
      <c r="Z52" s="313" t="str">
        <f t="shared" si="54"/>
        <v/>
      </c>
      <c r="AA52" s="313" t="str">
        <f t="shared" si="54"/>
        <v/>
      </c>
      <c r="AB52" s="313" t="str">
        <f t="shared" si="54"/>
        <v/>
      </c>
      <c r="AC52" s="313">
        <f t="shared" si="54"/>
        <v>48</v>
      </c>
      <c r="AD52" s="313" t="str">
        <f t="shared" si="54"/>
        <v/>
      </c>
      <c r="AE52" s="313" t="str">
        <f t="shared" si="54"/>
        <v/>
      </c>
      <c r="AF52" s="313" t="str">
        <f t="shared" si="54"/>
        <v/>
      </c>
      <c r="AG52" s="313">
        <f t="shared" si="54"/>
        <v>27</v>
      </c>
      <c r="AH52" s="313" t="str">
        <f t="shared" si="54"/>
        <v/>
      </c>
      <c r="AI52" s="313" t="str">
        <f t="shared" si="54"/>
        <v/>
      </c>
      <c r="AJ52" s="313" t="str">
        <f t="shared" si="54"/>
        <v/>
      </c>
      <c r="AK52" s="313">
        <f t="shared" si="54"/>
        <v>20</v>
      </c>
      <c r="AL52" s="313" t="str">
        <f t="shared" si="54"/>
        <v/>
      </c>
      <c r="AM52" s="313" t="str">
        <f t="shared" si="54"/>
        <v/>
      </c>
      <c r="AN52" s="313" t="str">
        <f t="shared" si="54"/>
        <v/>
      </c>
      <c r="AO52" s="313">
        <f t="shared" si="54"/>
        <v>36</v>
      </c>
      <c r="AP52" s="313" t="str">
        <f t="shared" si="54"/>
        <v/>
      </c>
      <c r="AQ52" s="313" t="str">
        <f t="shared" si="54"/>
        <v/>
      </c>
      <c r="AR52" s="313" t="str">
        <f t="shared" si="54"/>
        <v/>
      </c>
      <c r="AS52" s="313">
        <f t="shared" si="54"/>
        <v>24</v>
      </c>
      <c r="AT52" s="313" t="str">
        <f t="shared" ref="AT52:BU52" si="55">IF( LEN( AT46 ) = 0, "", ABS( AT46 ) + ABS( AT47 ) )</f>
        <v/>
      </c>
      <c r="AU52" s="313" t="str">
        <f t="shared" si="55"/>
        <v/>
      </c>
      <c r="AV52" s="313" t="str">
        <f t="shared" si="55"/>
        <v/>
      </c>
      <c r="AW52" s="313">
        <f t="shared" si="55"/>
        <v>30</v>
      </c>
      <c r="AX52" s="313" t="str">
        <f t="shared" ref="AX52:BQ52" si="56">IF( LEN( AX46 ) = 0, "", ABS( AX46 ) + ABS( AX47 ) )</f>
        <v/>
      </c>
      <c r="AY52" s="313" t="str">
        <f t="shared" si="56"/>
        <v/>
      </c>
      <c r="AZ52" s="313" t="str">
        <f t="shared" si="56"/>
        <v/>
      </c>
      <c r="BA52" s="313">
        <f t="shared" si="56"/>
        <v>40</v>
      </c>
      <c r="BB52" s="313" t="str">
        <f t="shared" si="56"/>
        <v/>
      </c>
      <c r="BC52" s="313" t="str">
        <f t="shared" si="56"/>
        <v/>
      </c>
      <c r="BD52" s="313" t="str">
        <f t="shared" si="56"/>
        <v/>
      </c>
      <c r="BE52" s="313">
        <f t="shared" si="56"/>
        <v>7</v>
      </c>
      <c r="BF52" s="313" t="str">
        <f t="shared" si="56"/>
        <v/>
      </c>
      <c r="BG52" s="313" t="str">
        <f t="shared" si="56"/>
        <v/>
      </c>
      <c r="BH52" s="313" t="str">
        <f t="shared" si="56"/>
        <v/>
      </c>
      <c r="BI52" s="313">
        <f t="shared" si="56"/>
        <v>27</v>
      </c>
      <c r="BJ52" s="313" t="str">
        <f t="shared" si="56"/>
        <v/>
      </c>
      <c r="BK52" s="313" t="str">
        <f t="shared" si="56"/>
        <v/>
      </c>
      <c r="BL52" s="313" t="str">
        <f t="shared" si="56"/>
        <v/>
      </c>
      <c r="BM52" s="313">
        <f t="shared" si="56"/>
        <v>38</v>
      </c>
      <c r="BN52" s="313" t="str">
        <f t="shared" si="56"/>
        <v/>
      </c>
      <c r="BO52" s="313" t="str">
        <f t="shared" si="56"/>
        <v/>
      </c>
      <c r="BP52" s="313" t="str">
        <f t="shared" si="56"/>
        <v/>
      </c>
      <c r="BQ52" s="313">
        <f t="shared" si="56"/>
        <v>25</v>
      </c>
      <c r="BR52" s="313" t="str">
        <f t="shared" si="55"/>
        <v/>
      </c>
      <c r="BS52" s="313" t="str">
        <f t="shared" si="55"/>
        <v/>
      </c>
      <c r="BT52" s="313" t="str">
        <f t="shared" si="55"/>
        <v/>
      </c>
      <c r="BU52" s="313">
        <f t="shared" si="55"/>
        <v>37</v>
      </c>
      <c r="BV52" s="313" t="str">
        <f t="shared" ref="BV52:CC52" si="57">IF( LEN( BV46 ) = 0, "", ABS( BV46 ) + ABS( BV47 ) )</f>
        <v/>
      </c>
      <c r="BW52" s="313" t="str">
        <f t="shared" si="57"/>
        <v/>
      </c>
      <c r="BX52" s="313" t="str">
        <f t="shared" si="57"/>
        <v/>
      </c>
      <c r="BY52" s="313">
        <f t="shared" si="57"/>
        <v>34</v>
      </c>
      <c r="BZ52" s="313" t="str">
        <f t="shared" si="57"/>
        <v/>
      </c>
      <c r="CA52" s="313" t="str">
        <f t="shared" si="57"/>
        <v/>
      </c>
      <c r="CB52" s="313" t="str">
        <f t="shared" si="57"/>
        <v/>
      </c>
      <c r="CC52" s="313">
        <f t="shared" si="57"/>
        <v>23</v>
      </c>
      <c r="CD52" s="313" t="str">
        <f t="shared" ref="CD52:CG52" ca="1" si="58">IF( LEN( CD46 ) = 0, "", ABS( CD46 ) + ABS( CD47 ) )</f>
        <v/>
      </c>
      <c r="CE52" s="313" t="str">
        <f t="shared" ca="1" si="58"/>
        <v/>
      </c>
      <c r="CF52" s="313" t="str">
        <f t="shared" ca="1" si="58"/>
        <v/>
      </c>
      <c r="CG52" s="313">
        <f t="shared" ca="1" si="58"/>
        <v>34</v>
      </c>
      <c r="CH52" s="313" t="str">
        <f t="shared" ref="CH52:CK52" ca="1" si="59">IF( LEN( CH46 ) = 0, "", ABS( CH46 ) + ABS( CH47 ) )</f>
        <v/>
      </c>
      <c r="CI52" s="313" t="str">
        <f t="shared" ca="1" si="59"/>
        <v/>
      </c>
      <c r="CJ52" s="313" t="str">
        <f t="shared" ca="1" si="59"/>
        <v/>
      </c>
      <c r="CK52" s="313">
        <f t="shared" ca="1" si="59"/>
        <v>2</v>
      </c>
    </row>
    <row r="53" spans="1:89" s="139" customFormat="1" outlineLevel="1" x14ac:dyDescent="0.25">
      <c r="A53" s="137" t="s">
        <v>102</v>
      </c>
      <c r="B53" s="138"/>
      <c r="C53" s="138"/>
      <c r="D53" s="138"/>
      <c r="E53" s="138">
        <f>IF( LEN( E51 ) = 0, "", ABS( E50 ) + ABS( E51 )  + ABS( E52 ) )</f>
        <v>207</v>
      </c>
      <c r="F53" s="138" t="str">
        <f t="shared" ref="F53:AW53" si="60">IF( LEN( F51 ) = 0, "", ABS( F50 ) + ABS( F51 )  + ABS( F52 ) )</f>
        <v/>
      </c>
      <c r="G53" s="138" t="str">
        <f t="shared" si="60"/>
        <v/>
      </c>
      <c r="H53" s="138" t="str">
        <f t="shared" si="60"/>
        <v/>
      </c>
      <c r="I53" s="138">
        <f t="shared" si="60"/>
        <v>300</v>
      </c>
      <c r="J53" s="138" t="str">
        <f t="shared" si="60"/>
        <v/>
      </c>
      <c r="K53" s="138" t="str">
        <f t="shared" si="60"/>
        <v/>
      </c>
      <c r="L53" s="138" t="str">
        <f t="shared" si="60"/>
        <v/>
      </c>
      <c r="M53" s="138">
        <f t="shared" si="60"/>
        <v>253</v>
      </c>
      <c r="N53" s="138" t="str">
        <f t="shared" si="60"/>
        <v/>
      </c>
      <c r="O53" s="138" t="str">
        <f t="shared" si="60"/>
        <v/>
      </c>
      <c r="P53" s="138" t="str">
        <f t="shared" si="60"/>
        <v/>
      </c>
      <c r="Q53" s="138">
        <f t="shared" si="60"/>
        <v>110</v>
      </c>
      <c r="R53" s="138" t="str">
        <f t="shared" si="60"/>
        <v/>
      </c>
      <c r="S53" s="138" t="str">
        <f t="shared" si="60"/>
        <v/>
      </c>
      <c r="T53" s="138" t="str">
        <f t="shared" si="60"/>
        <v/>
      </c>
      <c r="U53" s="138">
        <f t="shared" si="60"/>
        <v>121</v>
      </c>
      <c r="V53" s="138" t="str">
        <f t="shared" si="60"/>
        <v/>
      </c>
      <c r="W53" s="138" t="str">
        <f t="shared" si="60"/>
        <v/>
      </c>
      <c r="X53" s="138" t="str">
        <f t="shared" si="60"/>
        <v/>
      </c>
      <c r="Y53" s="138">
        <f t="shared" si="60"/>
        <v>110</v>
      </c>
      <c r="Z53" s="138" t="str">
        <f t="shared" si="60"/>
        <v/>
      </c>
      <c r="AA53" s="138" t="str">
        <f t="shared" si="60"/>
        <v/>
      </c>
      <c r="AB53" s="138" t="str">
        <f t="shared" si="60"/>
        <v/>
      </c>
      <c r="AC53" s="138">
        <f t="shared" si="60"/>
        <v>121</v>
      </c>
      <c r="AD53" s="138" t="str">
        <f t="shared" si="60"/>
        <v/>
      </c>
      <c r="AE53" s="138" t="str">
        <f t="shared" si="60"/>
        <v/>
      </c>
      <c r="AF53" s="138" t="str">
        <f t="shared" si="60"/>
        <v/>
      </c>
      <c r="AG53" s="138">
        <f t="shared" si="60"/>
        <v>50</v>
      </c>
      <c r="AH53" s="138" t="str">
        <f t="shared" si="60"/>
        <v/>
      </c>
      <c r="AI53" s="138" t="str">
        <f t="shared" si="60"/>
        <v/>
      </c>
      <c r="AJ53" s="138" t="str">
        <f t="shared" si="60"/>
        <v/>
      </c>
      <c r="AK53" s="138">
        <f t="shared" si="60"/>
        <v>57</v>
      </c>
      <c r="AL53" s="138" t="str">
        <f t="shared" si="60"/>
        <v/>
      </c>
      <c r="AM53" s="138" t="str">
        <f t="shared" si="60"/>
        <v/>
      </c>
      <c r="AN53" s="138" t="str">
        <f t="shared" si="60"/>
        <v/>
      </c>
      <c r="AO53" s="138">
        <f t="shared" si="60"/>
        <v>80</v>
      </c>
      <c r="AP53" s="138" t="str">
        <f t="shared" si="60"/>
        <v/>
      </c>
      <c r="AQ53" s="138" t="str">
        <f t="shared" si="60"/>
        <v/>
      </c>
      <c r="AR53" s="138" t="str">
        <f t="shared" si="60"/>
        <v/>
      </c>
      <c r="AS53" s="138">
        <f t="shared" si="60"/>
        <v>60</v>
      </c>
      <c r="AT53" s="138" t="str">
        <f t="shared" si="60"/>
        <v/>
      </c>
      <c r="AU53" s="138" t="str">
        <f t="shared" si="60"/>
        <v/>
      </c>
      <c r="AV53" s="138" t="str">
        <f t="shared" si="60"/>
        <v/>
      </c>
      <c r="AW53" s="138">
        <f t="shared" si="60"/>
        <v>76</v>
      </c>
      <c r="AX53" s="138" t="str">
        <f t="shared" ref="AX53:BU53" si="61">IF( LEN( AX51 ) = 0, "", ABS( AX50 ) + ABS( AX51 )  + ABS( AX52 ) )</f>
        <v/>
      </c>
      <c r="AY53" s="138" t="str">
        <f t="shared" si="61"/>
        <v/>
      </c>
      <c r="AZ53" s="138" t="str">
        <f t="shared" si="61"/>
        <v/>
      </c>
      <c r="BA53" s="138">
        <f t="shared" si="61"/>
        <v>80</v>
      </c>
      <c r="BB53" s="138" t="str">
        <f t="shared" ref="BB53:BQ53" si="62">IF( LEN( BB51 ) = 0, "", ABS( BB50 ) + ABS( BB51 )  + ABS( BB52 ) )</f>
        <v/>
      </c>
      <c r="BC53" s="138" t="str">
        <f t="shared" si="62"/>
        <v/>
      </c>
      <c r="BD53" s="138" t="str">
        <f t="shared" si="62"/>
        <v/>
      </c>
      <c r="BE53" s="138">
        <f t="shared" si="62"/>
        <v>106</v>
      </c>
      <c r="BF53" s="138" t="str">
        <f t="shared" si="62"/>
        <v/>
      </c>
      <c r="BG53" s="138" t="str">
        <f t="shared" si="62"/>
        <v/>
      </c>
      <c r="BH53" s="138" t="str">
        <f t="shared" si="62"/>
        <v/>
      </c>
      <c r="BI53" s="138">
        <f t="shared" si="62"/>
        <v>50</v>
      </c>
      <c r="BJ53" s="138" t="str">
        <f t="shared" si="62"/>
        <v/>
      </c>
      <c r="BK53" s="138" t="str">
        <f t="shared" si="62"/>
        <v/>
      </c>
      <c r="BL53" s="138" t="str">
        <f t="shared" si="62"/>
        <v/>
      </c>
      <c r="BM53" s="138">
        <f t="shared" si="62"/>
        <v>67</v>
      </c>
      <c r="BN53" s="138" t="str">
        <f t="shared" si="62"/>
        <v/>
      </c>
      <c r="BO53" s="138" t="str">
        <f t="shared" si="62"/>
        <v/>
      </c>
      <c r="BP53" s="138" t="str">
        <f t="shared" si="62"/>
        <v/>
      </c>
      <c r="BQ53" s="138">
        <f t="shared" si="62"/>
        <v>52</v>
      </c>
      <c r="BR53" s="138" t="str">
        <f t="shared" si="61"/>
        <v/>
      </c>
      <c r="BS53" s="138" t="str">
        <f t="shared" si="61"/>
        <v/>
      </c>
      <c r="BT53" s="138" t="str">
        <f t="shared" si="61"/>
        <v/>
      </c>
      <c r="BU53" s="138">
        <f t="shared" si="61"/>
        <v>93</v>
      </c>
      <c r="BV53" s="138" t="str">
        <f t="shared" ref="BV53:CC53" si="63">IF( LEN( BV51 ) = 0, "", ABS( BV50 ) + ABS( BV51 )  + ABS( BV52 ) )</f>
        <v/>
      </c>
      <c r="BW53" s="138" t="str">
        <f t="shared" si="63"/>
        <v/>
      </c>
      <c r="BX53" s="138" t="str">
        <f t="shared" si="63"/>
        <v/>
      </c>
      <c r="BY53" s="138">
        <f t="shared" si="63"/>
        <v>90</v>
      </c>
      <c r="BZ53" s="138" t="str">
        <f t="shared" si="63"/>
        <v/>
      </c>
      <c r="CA53" s="138" t="str">
        <f t="shared" si="63"/>
        <v/>
      </c>
      <c r="CB53" s="138" t="str">
        <f t="shared" si="63"/>
        <v/>
      </c>
      <c r="CC53" s="138">
        <f t="shared" si="63"/>
        <v>59</v>
      </c>
      <c r="CD53" s="138" t="str">
        <f t="shared" ref="CD53:CG53" ca="1" si="64">IF( LEN( CD51 ) = 0, "", ABS( CD50 ) + ABS( CD51 )  + ABS( CD52 ) )</f>
        <v/>
      </c>
      <c r="CE53" s="138" t="str">
        <f t="shared" ca="1" si="64"/>
        <v/>
      </c>
      <c r="CF53" s="138" t="str">
        <f t="shared" ca="1" si="64"/>
        <v/>
      </c>
      <c r="CG53" s="138">
        <f t="shared" ca="1" si="64"/>
        <v>52</v>
      </c>
      <c r="CH53" s="138" t="str">
        <f t="shared" ref="CH53:CK53" ca="1" si="65">IF( LEN( CH51 ) = 0, "", ABS( CH50 ) + ABS( CH51 )  + ABS( CH52 ) )</f>
        <v/>
      </c>
      <c r="CI53" s="138" t="str">
        <f t="shared" ca="1" si="65"/>
        <v/>
      </c>
      <c r="CJ53" s="138" t="str">
        <f t="shared" ca="1" si="65"/>
        <v/>
      </c>
      <c r="CK53" s="138">
        <f t="shared" ca="1" si="65"/>
        <v>12</v>
      </c>
    </row>
    <row r="54" spans="1:89" s="122" customFormat="1" outlineLevel="1" x14ac:dyDescent="0.25">
      <c r="B54" s="123"/>
      <c r="C54" s="123"/>
      <c r="D54" s="123"/>
      <c r="E54" s="123"/>
      <c r="F54" s="124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</row>
    <row r="55" spans="1:89" s="122" customFormat="1" outlineLevel="1" x14ac:dyDescent="0.25">
      <c r="B55" s="123"/>
      <c r="C55" s="123"/>
      <c r="D55" s="123"/>
      <c r="E55" s="123"/>
      <c r="F55" s="124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</row>
    <row r="56" spans="1:89" s="309" customFormat="1" outlineLevel="1" x14ac:dyDescent="0.25">
      <c r="A56" s="308" t="s">
        <v>103</v>
      </c>
      <c r="B56" s="309">
        <f t="shared" ref="B56:BM56" si="66">SUM(B29,B31,B33)</f>
        <v>23</v>
      </c>
      <c r="C56" s="309">
        <f t="shared" si="66"/>
        <v>14</v>
      </c>
      <c r="D56" s="309">
        <f t="shared" si="66"/>
        <v>6</v>
      </c>
      <c r="E56" s="309">
        <f t="shared" si="66"/>
        <v>14</v>
      </c>
      <c r="F56" s="309">
        <f t="shared" si="66"/>
        <v>6</v>
      </c>
      <c r="G56" s="309">
        <f t="shared" si="66"/>
        <v>2</v>
      </c>
      <c r="H56" s="309">
        <f t="shared" si="66"/>
        <v>12</v>
      </c>
      <c r="I56" s="309">
        <f t="shared" si="66"/>
        <v>1</v>
      </c>
      <c r="J56" s="309">
        <f t="shared" si="66"/>
        <v>4</v>
      </c>
      <c r="K56" s="309">
        <f t="shared" si="66"/>
        <v>15</v>
      </c>
      <c r="L56" s="309">
        <f t="shared" si="66"/>
        <v>6</v>
      </c>
      <c r="M56" s="309">
        <f t="shared" si="66"/>
        <v>10</v>
      </c>
      <c r="N56" s="309">
        <f t="shared" si="66"/>
        <v>8</v>
      </c>
      <c r="O56" s="309">
        <f t="shared" si="66"/>
        <v>8</v>
      </c>
      <c r="P56" s="309">
        <f t="shared" si="66"/>
        <v>21</v>
      </c>
      <c r="Q56" s="309">
        <f t="shared" si="66"/>
        <v>14</v>
      </c>
      <c r="R56" s="309">
        <f t="shared" si="66"/>
        <v>23</v>
      </c>
      <c r="S56" s="309">
        <f t="shared" si="66"/>
        <v>20</v>
      </c>
      <c r="T56" s="309">
        <f t="shared" si="66"/>
        <v>20</v>
      </c>
      <c r="U56" s="309">
        <f t="shared" si="66"/>
        <v>10</v>
      </c>
      <c r="V56" s="309">
        <f t="shared" si="66"/>
        <v>18</v>
      </c>
      <c r="W56" s="309">
        <f t="shared" si="66"/>
        <v>24</v>
      </c>
      <c r="X56" s="309">
        <f t="shared" si="66"/>
        <v>19</v>
      </c>
      <c r="Y56" s="309">
        <f t="shared" si="66"/>
        <v>6</v>
      </c>
      <c r="Z56" s="309">
        <f t="shared" si="66"/>
        <v>22</v>
      </c>
      <c r="AA56" s="309">
        <f t="shared" si="66"/>
        <v>23</v>
      </c>
      <c r="AB56" s="309">
        <f t="shared" si="66"/>
        <v>8</v>
      </c>
      <c r="AC56" s="309">
        <f t="shared" si="66"/>
        <v>20</v>
      </c>
      <c r="AD56" s="309">
        <f t="shared" si="66"/>
        <v>5</v>
      </c>
      <c r="AE56" s="309">
        <f t="shared" si="66"/>
        <v>4</v>
      </c>
      <c r="AF56" s="309">
        <f t="shared" si="66"/>
        <v>9</v>
      </c>
      <c r="AG56" s="309">
        <f t="shared" si="66"/>
        <v>6</v>
      </c>
      <c r="AH56" s="309">
        <f t="shared" si="66"/>
        <v>1</v>
      </c>
      <c r="AI56" s="309">
        <f t="shared" si="66"/>
        <v>10</v>
      </c>
      <c r="AJ56" s="309">
        <f t="shared" si="66"/>
        <v>7</v>
      </c>
      <c r="AK56" s="309">
        <f t="shared" si="66"/>
        <v>5</v>
      </c>
      <c r="AL56" s="309">
        <f t="shared" si="66"/>
        <v>1</v>
      </c>
      <c r="AM56" s="309">
        <f t="shared" si="66"/>
        <v>12</v>
      </c>
      <c r="AN56" s="309">
        <f t="shared" si="66"/>
        <v>11</v>
      </c>
      <c r="AO56" s="309">
        <f t="shared" si="66"/>
        <v>5</v>
      </c>
      <c r="AP56" s="309">
        <f t="shared" si="66"/>
        <v>11</v>
      </c>
      <c r="AQ56" s="309">
        <f t="shared" si="66"/>
        <v>21</v>
      </c>
      <c r="AR56" s="309">
        <f t="shared" si="66"/>
        <v>4</v>
      </c>
      <c r="AS56" s="309">
        <f t="shared" si="66"/>
        <v>3</v>
      </c>
      <c r="AT56" s="309">
        <f t="shared" si="66"/>
        <v>8</v>
      </c>
      <c r="AU56" s="309">
        <f t="shared" si="66"/>
        <v>24</v>
      </c>
      <c r="AV56" s="309">
        <f t="shared" si="66"/>
        <v>2</v>
      </c>
      <c r="AW56" s="309">
        <f t="shared" si="66"/>
        <v>3</v>
      </c>
      <c r="AX56" s="309">
        <f t="shared" si="66"/>
        <v>14</v>
      </c>
      <c r="AY56" s="309">
        <f t="shared" si="66"/>
        <v>20</v>
      </c>
      <c r="AZ56" s="309">
        <f t="shared" si="66"/>
        <v>14</v>
      </c>
      <c r="BA56" s="309">
        <f t="shared" si="66"/>
        <v>12</v>
      </c>
      <c r="BB56" s="309">
        <f t="shared" si="66"/>
        <v>82</v>
      </c>
      <c r="BC56" s="309">
        <f t="shared" si="66"/>
        <v>10</v>
      </c>
      <c r="BD56" s="309">
        <f t="shared" si="66"/>
        <v>6</v>
      </c>
      <c r="BE56" s="309">
        <f t="shared" si="66"/>
        <v>5</v>
      </c>
      <c r="BF56" s="309">
        <f t="shared" si="66"/>
        <v>2</v>
      </c>
      <c r="BG56" s="309">
        <f t="shared" si="66"/>
        <v>26</v>
      </c>
      <c r="BH56" s="309">
        <f t="shared" si="66"/>
        <v>1</v>
      </c>
      <c r="BI56" s="309">
        <f t="shared" si="66"/>
        <v>6</v>
      </c>
      <c r="BJ56" s="309">
        <f t="shared" si="66"/>
        <v>13</v>
      </c>
      <c r="BK56" s="309">
        <f t="shared" si="66"/>
        <v>12</v>
      </c>
      <c r="BL56" s="309">
        <f t="shared" si="66"/>
        <v>23</v>
      </c>
      <c r="BM56" s="309">
        <f t="shared" si="66"/>
        <v>1</v>
      </c>
      <c r="BN56" s="309">
        <f t="shared" ref="BN56:BQ56" si="67">SUM(BN29,BN31,BN33)</f>
        <v>13</v>
      </c>
      <c r="BO56" s="309">
        <f t="shared" si="67"/>
        <v>7</v>
      </c>
      <c r="BP56" s="309">
        <f t="shared" si="67"/>
        <v>8</v>
      </c>
      <c r="BQ56" s="309">
        <f t="shared" si="67"/>
        <v>10</v>
      </c>
      <c r="BR56" s="309">
        <f t="shared" ref="BR56:BU57" si="68">SUM(BR29,BR31,BR33)</f>
        <v>6</v>
      </c>
      <c r="BS56" s="309">
        <f t="shared" si="68"/>
        <v>6</v>
      </c>
      <c r="BT56" s="309">
        <f t="shared" si="68"/>
        <v>17</v>
      </c>
      <c r="BU56" s="309">
        <f t="shared" si="68"/>
        <v>12</v>
      </c>
      <c r="BV56" s="309">
        <f t="shared" ref="BV56:CC56" si="69">SUM(BV29,BV31,BV33)</f>
        <v>14</v>
      </c>
      <c r="BW56" s="309">
        <f t="shared" si="69"/>
        <v>10</v>
      </c>
      <c r="BX56" s="309">
        <f t="shared" si="69"/>
        <v>12</v>
      </c>
      <c r="BY56" s="309">
        <f t="shared" si="69"/>
        <v>19</v>
      </c>
      <c r="BZ56" s="309">
        <f t="shared" si="69"/>
        <v>1</v>
      </c>
      <c r="CA56" s="309">
        <f t="shared" si="69"/>
        <v>5</v>
      </c>
      <c r="CB56" s="309">
        <f t="shared" si="69"/>
        <v>3</v>
      </c>
      <c r="CC56" s="309">
        <f t="shared" si="69"/>
        <v>3</v>
      </c>
      <c r="CD56" s="309">
        <f t="shared" ref="CD56:CG56" ca="1" si="70">SUM(CD29,CD31,CD33)</f>
        <v>3</v>
      </c>
      <c r="CE56" s="309">
        <f t="shared" ca="1" si="70"/>
        <v>1</v>
      </c>
      <c r="CF56" s="309">
        <f t="shared" ca="1" si="70"/>
        <v>1</v>
      </c>
      <c r="CG56" s="309">
        <f t="shared" ca="1" si="70"/>
        <v>15</v>
      </c>
      <c r="CH56" s="309">
        <f t="shared" ref="CH56:CK56" ca="1" si="71">SUM(CH29,CH31,CH33)</f>
        <v>5</v>
      </c>
      <c r="CI56" s="309">
        <f t="shared" ca="1" si="71"/>
        <v>4</v>
      </c>
      <c r="CJ56" s="309">
        <f t="shared" ca="1" si="71"/>
        <v>0</v>
      </c>
      <c r="CK56" s="309">
        <f t="shared" ca="1" si="71"/>
        <v>0</v>
      </c>
    </row>
    <row r="57" spans="1:89" s="313" customFormat="1" outlineLevel="1" x14ac:dyDescent="0.25">
      <c r="A57" s="312" t="s">
        <v>104</v>
      </c>
      <c r="B57" s="313">
        <f t="shared" ref="B57:BM57" si="72">SUM(B30,B32,B34)</f>
        <v>-59</v>
      </c>
      <c r="C57" s="313">
        <f t="shared" si="72"/>
        <v>-21</v>
      </c>
      <c r="D57" s="313">
        <f t="shared" si="72"/>
        <v>-13</v>
      </c>
      <c r="E57" s="313">
        <f t="shared" si="72"/>
        <v>-57</v>
      </c>
      <c r="F57" s="313">
        <f t="shared" si="72"/>
        <v>-34</v>
      </c>
      <c r="G57" s="313">
        <f t="shared" si="72"/>
        <v>-67</v>
      </c>
      <c r="H57" s="313">
        <f t="shared" si="72"/>
        <v>-91</v>
      </c>
      <c r="I57" s="313">
        <f t="shared" si="72"/>
        <v>-87</v>
      </c>
      <c r="J57" s="313">
        <f t="shared" si="72"/>
        <v>-88</v>
      </c>
      <c r="K57" s="313">
        <f t="shared" si="72"/>
        <v>-55</v>
      </c>
      <c r="L57" s="313">
        <f t="shared" si="72"/>
        <v>-38</v>
      </c>
      <c r="M57" s="313">
        <f t="shared" si="72"/>
        <v>-37</v>
      </c>
      <c r="N57" s="313">
        <f t="shared" si="72"/>
        <v>-19</v>
      </c>
      <c r="O57" s="313">
        <f t="shared" si="72"/>
        <v>-19</v>
      </c>
      <c r="P57" s="313">
        <f t="shared" si="72"/>
        <v>-10</v>
      </c>
      <c r="Q57" s="313">
        <f t="shared" si="72"/>
        <v>-11</v>
      </c>
      <c r="R57" s="313">
        <f t="shared" si="72"/>
        <v>-9</v>
      </c>
      <c r="S57" s="313">
        <f t="shared" si="72"/>
        <v>-10</v>
      </c>
      <c r="T57" s="313">
        <f t="shared" si="72"/>
        <v>-7</v>
      </c>
      <c r="U57" s="313">
        <f t="shared" si="72"/>
        <v>-22</v>
      </c>
      <c r="V57" s="313">
        <f t="shared" si="72"/>
        <v>-7</v>
      </c>
      <c r="W57" s="313">
        <f t="shared" si="72"/>
        <v>-10</v>
      </c>
      <c r="X57" s="313">
        <f t="shared" si="72"/>
        <v>-18</v>
      </c>
      <c r="Y57" s="313">
        <f t="shared" si="72"/>
        <v>-8</v>
      </c>
      <c r="Z57" s="313">
        <f t="shared" si="72"/>
        <v>-17</v>
      </c>
      <c r="AA57" s="313">
        <f t="shared" si="72"/>
        <v>-18</v>
      </c>
      <c r="AB57" s="313">
        <f t="shared" si="72"/>
        <v>-2</v>
      </c>
      <c r="AC57" s="313">
        <f t="shared" si="72"/>
        <v>-11</v>
      </c>
      <c r="AD57" s="313">
        <f t="shared" si="72"/>
        <v>-13</v>
      </c>
      <c r="AE57" s="313">
        <f t="shared" si="72"/>
        <v>-5</v>
      </c>
      <c r="AF57" s="313">
        <f t="shared" si="72"/>
        <v>-5</v>
      </c>
      <c r="AG57" s="313">
        <f t="shared" si="72"/>
        <v>-3</v>
      </c>
      <c r="AH57" s="313">
        <f t="shared" si="72"/>
        <v>-9</v>
      </c>
      <c r="AI57" s="313">
        <f t="shared" si="72"/>
        <v>-14</v>
      </c>
      <c r="AJ57" s="313">
        <f t="shared" si="72"/>
        <v>-8</v>
      </c>
      <c r="AK57" s="313">
        <f t="shared" si="72"/>
        <v>-3</v>
      </c>
      <c r="AL57" s="313">
        <f t="shared" si="72"/>
        <v>-17</v>
      </c>
      <c r="AM57" s="313">
        <f t="shared" si="72"/>
        <v>-14</v>
      </c>
      <c r="AN57" s="313">
        <f t="shared" si="72"/>
        <v>-8</v>
      </c>
      <c r="AO57" s="313">
        <f t="shared" si="72"/>
        <v>-12</v>
      </c>
      <c r="AP57" s="313">
        <f t="shared" si="72"/>
        <v>0</v>
      </c>
      <c r="AQ57" s="313">
        <f t="shared" si="72"/>
        <v>-8</v>
      </c>
      <c r="AR57" s="313">
        <f t="shared" si="72"/>
        <v>-4</v>
      </c>
      <c r="AS57" s="313">
        <f t="shared" si="72"/>
        <v>-9</v>
      </c>
      <c r="AT57" s="313">
        <f t="shared" si="72"/>
        <v>-8</v>
      </c>
      <c r="AU57" s="313">
        <f t="shared" si="72"/>
        <v>-11</v>
      </c>
      <c r="AV57" s="313">
        <f t="shared" si="72"/>
        <v>-7</v>
      </c>
      <c r="AW57" s="313">
        <f t="shared" si="72"/>
        <v>-13</v>
      </c>
      <c r="AX57" s="313">
        <f t="shared" si="72"/>
        <v>-5</v>
      </c>
      <c r="AY57" s="313">
        <f t="shared" si="72"/>
        <v>-1</v>
      </c>
      <c r="AZ57" s="313">
        <f t="shared" si="72"/>
        <v>-10</v>
      </c>
      <c r="BA57" s="313">
        <f t="shared" si="72"/>
        <v>-4</v>
      </c>
      <c r="BB57" s="313">
        <f t="shared" si="72"/>
        <v>0</v>
      </c>
      <c r="BC57" s="313">
        <f t="shared" si="72"/>
        <v>-3</v>
      </c>
      <c r="BD57" s="313">
        <f t="shared" si="72"/>
        <v>0</v>
      </c>
      <c r="BE57" s="313">
        <f t="shared" si="72"/>
        <v>0</v>
      </c>
      <c r="BF57" s="313">
        <f t="shared" si="72"/>
        <v>0</v>
      </c>
      <c r="BG57" s="313">
        <f t="shared" si="72"/>
        <v>-7</v>
      </c>
      <c r="BH57" s="313">
        <f t="shared" si="72"/>
        <v>-6</v>
      </c>
      <c r="BI57" s="313">
        <f t="shared" si="72"/>
        <v>-2</v>
      </c>
      <c r="BJ57" s="313">
        <f t="shared" si="72"/>
        <v>-5</v>
      </c>
      <c r="BK57" s="313">
        <f t="shared" si="72"/>
        <v>-3</v>
      </c>
      <c r="BL57" s="313">
        <f t="shared" si="72"/>
        <v>-8</v>
      </c>
      <c r="BM57" s="313">
        <f t="shared" si="72"/>
        <v>-2</v>
      </c>
      <c r="BN57" s="313">
        <f t="shared" ref="BN57:BQ57" si="73">SUM(BN30,BN32,BN34)</f>
        <v>-4</v>
      </c>
      <c r="BO57" s="313">
        <f t="shared" si="73"/>
        <v>-1</v>
      </c>
      <c r="BP57" s="313">
        <f t="shared" si="73"/>
        <v>-9</v>
      </c>
      <c r="BQ57" s="313">
        <f t="shared" si="73"/>
        <v>0</v>
      </c>
      <c r="BR57" s="313">
        <f t="shared" si="68"/>
        <v>-11</v>
      </c>
      <c r="BS57" s="313">
        <f t="shared" si="68"/>
        <v>-7</v>
      </c>
      <c r="BT57" s="313">
        <f t="shared" si="68"/>
        <v>-23</v>
      </c>
      <c r="BU57" s="313">
        <f t="shared" si="68"/>
        <v>-11</v>
      </c>
      <c r="BV57" s="313">
        <f t="shared" ref="BV57:CC57" si="74">SUM(BV30,BV32,BV34)</f>
        <v>-21</v>
      </c>
      <c r="BW57" s="313">
        <f t="shared" si="74"/>
        <v>-2</v>
      </c>
      <c r="BX57" s="313">
        <f t="shared" si="74"/>
        <v>-5</v>
      </c>
      <c r="BY57" s="313">
        <f t="shared" si="74"/>
        <v>-7</v>
      </c>
      <c r="BZ57" s="313">
        <f t="shared" si="74"/>
        <v>-4</v>
      </c>
      <c r="CA57" s="313">
        <f t="shared" si="74"/>
        <v>-6</v>
      </c>
      <c r="CB57" s="313">
        <f t="shared" si="74"/>
        <v>-4</v>
      </c>
      <c r="CC57" s="313">
        <f t="shared" si="74"/>
        <v>-33</v>
      </c>
      <c r="CD57" s="313">
        <f t="shared" ref="CD57:CG57" ca="1" si="75">SUM(CD30,CD32,CD34)</f>
        <v>-12</v>
      </c>
      <c r="CE57" s="313">
        <f t="shared" ca="1" si="75"/>
        <v>-2</v>
      </c>
      <c r="CF57" s="313">
        <f t="shared" ca="1" si="75"/>
        <v>-5</v>
      </c>
      <c r="CG57" s="313">
        <f t="shared" ca="1" si="75"/>
        <v>-13</v>
      </c>
      <c r="CH57" s="313">
        <f t="shared" ref="CH57:CK57" ca="1" si="76">SUM(CH30,CH32,CH34)</f>
        <v>-3</v>
      </c>
      <c r="CI57" s="313">
        <f t="shared" ca="1" si="76"/>
        <v>0</v>
      </c>
      <c r="CJ57" s="313">
        <f t="shared" ca="1" si="76"/>
        <v>0</v>
      </c>
      <c r="CK57" s="313">
        <f t="shared" ca="1" si="76"/>
        <v>0</v>
      </c>
    </row>
    <row r="58" spans="1:89" s="139" customFormat="1" outlineLevel="1" x14ac:dyDescent="0.25">
      <c r="A58" s="137" t="s">
        <v>105</v>
      </c>
      <c r="B58" s="138">
        <f>ABS( B56 ) + ABS( B57 )</f>
        <v>82</v>
      </c>
      <c r="C58" s="138">
        <f>ABS( C56 ) + ABS( C57 )</f>
        <v>35</v>
      </c>
      <c r="D58" s="138">
        <f>ABS( D56 ) + ABS( D57 )</f>
        <v>19</v>
      </c>
      <c r="E58" s="138">
        <f t="shared" ref="E58:AS58" si="77">ABS( E56 ) + ABS( E57 )</f>
        <v>71</v>
      </c>
      <c r="F58" s="138">
        <f t="shared" si="77"/>
        <v>40</v>
      </c>
      <c r="G58" s="138">
        <f t="shared" si="77"/>
        <v>69</v>
      </c>
      <c r="H58" s="138">
        <f t="shared" si="77"/>
        <v>103</v>
      </c>
      <c r="I58" s="138">
        <f t="shared" si="77"/>
        <v>88</v>
      </c>
      <c r="J58" s="138">
        <f t="shared" si="77"/>
        <v>92</v>
      </c>
      <c r="K58" s="138">
        <f t="shared" si="77"/>
        <v>70</v>
      </c>
      <c r="L58" s="138">
        <f t="shared" si="77"/>
        <v>44</v>
      </c>
      <c r="M58" s="138">
        <f t="shared" si="77"/>
        <v>47</v>
      </c>
      <c r="N58" s="138">
        <f t="shared" si="77"/>
        <v>27</v>
      </c>
      <c r="O58" s="138">
        <f t="shared" si="77"/>
        <v>27</v>
      </c>
      <c r="P58" s="138">
        <f t="shared" si="77"/>
        <v>31</v>
      </c>
      <c r="Q58" s="138">
        <f t="shared" si="77"/>
        <v>25</v>
      </c>
      <c r="R58" s="138">
        <f t="shared" si="77"/>
        <v>32</v>
      </c>
      <c r="S58" s="138">
        <f t="shared" si="77"/>
        <v>30</v>
      </c>
      <c r="T58" s="138">
        <f t="shared" si="77"/>
        <v>27</v>
      </c>
      <c r="U58" s="138">
        <f t="shared" si="77"/>
        <v>32</v>
      </c>
      <c r="V58" s="138">
        <f t="shared" si="77"/>
        <v>25</v>
      </c>
      <c r="W58" s="138">
        <f t="shared" si="77"/>
        <v>34</v>
      </c>
      <c r="X58" s="138">
        <f t="shared" si="77"/>
        <v>37</v>
      </c>
      <c r="Y58" s="138">
        <f t="shared" si="77"/>
        <v>14</v>
      </c>
      <c r="Z58" s="138">
        <f t="shared" si="77"/>
        <v>39</v>
      </c>
      <c r="AA58" s="138">
        <f t="shared" si="77"/>
        <v>41</v>
      </c>
      <c r="AB58" s="138">
        <f t="shared" si="77"/>
        <v>10</v>
      </c>
      <c r="AC58" s="138">
        <f t="shared" si="77"/>
        <v>31</v>
      </c>
      <c r="AD58" s="138">
        <f t="shared" si="77"/>
        <v>18</v>
      </c>
      <c r="AE58" s="138">
        <f t="shared" si="77"/>
        <v>9</v>
      </c>
      <c r="AF58" s="138">
        <f t="shared" si="77"/>
        <v>14</v>
      </c>
      <c r="AG58" s="138">
        <f t="shared" si="77"/>
        <v>9</v>
      </c>
      <c r="AH58" s="138">
        <f t="shared" si="77"/>
        <v>10</v>
      </c>
      <c r="AI58" s="138">
        <f t="shared" si="77"/>
        <v>24</v>
      </c>
      <c r="AJ58" s="138">
        <f t="shared" si="77"/>
        <v>15</v>
      </c>
      <c r="AK58" s="138">
        <f t="shared" si="77"/>
        <v>8</v>
      </c>
      <c r="AL58" s="138">
        <f t="shared" si="77"/>
        <v>18</v>
      </c>
      <c r="AM58" s="138">
        <f t="shared" si="77"/>
        <v>26</v>
      </c>
      <c r="AN58" s="138">
        <f t="shared" si="77"/>
        <v>19</v>
      </c>
      <c r="AO58" s="138">
        <f t="shared" si="77"/>
        <v>17</v>
      </c>
      <c r="AP58" s="138">
        <f t="shared" si="77"/>
        <v>11</v>
      </c>
      <c r="AQ58" s="138">
        <f t="shared" si="77"/>
        <v>29</v>
      </c>
      <c r="AR58" s="138">
        <f t="shared" si="77"/>
        <v>8</v>
      </c>
      <c r="AS58" s="138">
        <f t="shared" si="77"/>
        <v>12</v>
      </c>
      <c r="AT58" s="138">
        <f t="shared" ref="AT58:BU58" si="78">ABS( AT56 ) + ABS( AT57 )</f>
        <v>16</v>
      </c>
      <c r="AU58" s="138">
        <f t="shared" si="78"/>
        <v>35</v>
      </c>
      <c r="AV58" s="138">
        <f t="shared" si="78"/>
        <v>9</v>
      </c>
      <c r="AW58" s="138">
        <f t="shared" si="78"/>
        <v>16</v>
      </c>
      <c r="AX58" s="138">
        <f t="shared" ref="AX58:BQ58" si="79">ABS( AX56 ) + ABS( AX57 )</f>
        <v>19</v>
      </c>
      <c r="AY58" s="138">
        <f t="shared" si="79"/>
        <v>21</v>
      </c>
      <c r="AZ58" s="138">
        <f t="shared" si="79"/>
        <v>24</v>
      </c>
      <c r="BA58" s="138">
        <f t="shared" si="79"/>
        <v>16</v>
      </c>
      <c r="BB58" s="138">
        <f t="shared" si="79"/>
        <v>82</v>
      </c>
      <c r="BC58" s="138">
        <f t="shared" si="79"/>
        <v>13</v>
      </c>
      <c r="BD58" s="138">
        <f t="shared" si="79"/>
        <v>6</v>
      </c>
      <c r="BE58" s="138">
        <f t="shared" si="79"/>
        <v>5</v>
      </c>
      <c r="BF58" s="138">
        <f t="shared" si="79"/>
        <v>2</v>
      </c>
      <c r="BG58" s="138">
        <f t="shared" si="79"/>
        <v>33</v>
      </c>
      <c r="BH58" s="138">
        <f t="shared" si="79"/>
        <v>7</v>
      </c>
      <c r="BI58" s="138">
        <f t="shared" si="79"/>
        <v>8</v>
      </c>
      <c r="BJ58" s="138">
        <f t="shared" si="79"/>
        <v>18</v>
      </c>
      <c r="BK58" s="138">
        <f t="shared" si="79"/>
        <v>15</v>
      </c>
      <c r="BL58" s="138">
        <f t="shared" si="79"/>
        <v>31</v>
      </c>
      <c r="BM58" s="138">
        <f t="shared" si="79"/>
        <v>3</v>
      </c>
      <c r="BN58" s="138">
        <f t="shared" si="79"/>
        <v>17</v>
      </c>
      <c r="BO58" s="138">
        <f t="shared" si="79"/>
        <v>8</v>
      </c>
      <c r="BP58" s="138">
        <f t="shared" si="79"/>
        <v>17</v>
      </c>
      <c r="BQ58" s="138">
        <f t="shared" si="79"/>
        <v>10</v>
      </c>
      <c r="BR58" s="138">
        <f t="shared" si="78"/>
        <v>17</v>
      </c>
      <c r="BS58" s="138">
        <f t="shared" si="78"/>
        <v>13</v>
      </c>
      <c r="BT58" s="138">
        <f t="shared" si="78"/>
        <v>40</v>
      </c>
      <c r="BU58" s="138">
        <f t="shared" si="78"/>
        <v>23</v>
      </c>
      <c r="BV58" s="138">
        <f t="shared" ref="BV58:CC58" si="80">ABS( BV56 ) + ABS( BV57 )</f>
        <v>35</v>
      </c>
      <c r="BW58" s="138">
        <f t="shared" si="80"/>
        <v>12</v>
      </c>
      <c r="BX58" s="138">
        <f t="shared" si="80"/>
        <v>17</v>
      </c>
      <c r="BY58" s="138">
        <f t="shared" si="80"/>
        <v>26</v>
      </c>
      <c r="BZ58" s="138">
        <f t="shared" si="80"/>
        <v>5</v>
      </c>
      <c r="CA58" s="138">
        <f t="shared" si="80"/>
        <v>11</v>
      </c>
      <c r="CB58" s="138">
        <f t="shared" si="80"/>
        <v>7</v>
      </c>
      <c r="CC58" s="138">
        <f t="shared" si="80"/>
        <v>36</v>
      </c>
      <c r="CD58" s="138">
        <f t="shared" ref="CD58:CG58" ca="1" si="81">ABS( CD56 ) + ABS( CD57 )</f>
        <v>15</v>
      </c>
      <c r="CE58" s="138">
        <f t="shared" ca="1" si="81"/>
        <v>3</v>
      </c>
      <c r="CF58" s="138">
        <f t="shared" ca="1" si="81"/>
        <v>6</v>
      </c>
      <c r="CG58" s="138">
        <f t="shared" ca="1" si="81"/>
        <v>28</v>
      </c>
      <c r="CH58" s="138">
        <f t="shared" ref="CH58:CK58" ca="1" si="82">ABS( CH56 ) + ABS( CH57 )</f>
        <v>8</v>
      </c>
      <c r="CI58" s="138">
        <f t="shared" ca="1" si="82"/>
        <v>4</v>
      </c>
      <c r="CJ58" s="138">
        <f t="shared" ca="1" si="82"/>
        <v>0</v>
      </c>
      <c r="CK58" s="138">
        <f t="shared" ca="1" si="82"/>
        <v>0</v>
      </c>
    </row>
    <row r="59" spans="1:89" s="122" customFormat="1" outlineLevel="1" x14ac:dyDescent="0.25">
      <c r="B59" s="124"/>
      <c r="C59" s="124"/>
      <c r="D59" s="124"/>
      <c r="E59" s="124"/>
      <c r="F59" s="124"/>
      <c r="G59" s="124"/>
      <c r="H59" s="124"/>
      <c r="I59" s="124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</row>
    <row r="60" spans="1:89" s="122" customFormat="1" outlineLevel="1" x14ac:dyDescent="0.25">
      <c r="B60" s="124"/>
      <c r="C60" s="124"/>
      <c r="D60" s="124"/>
      <c r="E60" s="124"/>
      <c r="F60" s="124"/>
      <c r="G60" s="124"/>
      <c r="H60" s="124"/>
      <c r="I60" s="124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</row>
    <row r="61" spans="1:89" s="309" customFormat="1" outlineLevel="1" x14ac:dyDescent="0.25">
      <c r="A61" s="308" t="s">
        <v>106</v>
      </c>
      <c r="E61" s="309">
        <f t="shared" ref="E61:N62" si="83">IF( ISERR( FIND( "Q4", E$28 ) ), "", SUM( B56:E56 ) )</f>
        <v>57</v>
      </c>
      <c r="F61" s="309" t="str">
        <f t="shared" si="83"/>
        <v/>
      </c>
      <c r="G61" s="309" t="str">
        <f t="shared" si="83"/>
        <v/>
      </c>
      <c r="H61" s="309" t="str">
        <f t="shared" si="83"/>
        <v/>
      </c>
      <c r="I61" s="309">
        <f t="shared" si="83"/>
        <v>21</v>
      </c>
      <c r="J61" s="309" t="str">
        <f t="shared" si="83"/>
        <v/>
      </c>
      <c r="K61" s="309" t="str">
        <f t="shared" si="83"/>
        <v/>
      </c>
      <c r="L61" s="309" t="str">
        <f t="shared" si="83"/>
        <v/>
      </c>
      <c r="M61" s="309">
        <f t="shared" si="83"/>
        <v>35</v>
      </c>
      <c r="N61" s="309" t="str">
        <f t="shared" si="83"/>
        <v/>
      </c>
      <c r="O61" s="309" t="str">
        <f t="shared" ref="O61:X62" si="84">IF( ISERR( FIND( "Q4", O$28 ) ), "", SUM( L56:O56 ) )</f>
        <v/>
      </c>
      <c r="P61" s="309" t="str">
        <f t="shared" si="84"/>
        <v/>
      </c>
      <c r="Q61" s="309">
        <f t="shared" si="84"/>
        <v>51</v>
      </c>
      <c r="R61" s="309" t="str">
        <f t="shared" si="84"/>
        <v/>
      </c>
      <c r="S61" s="309" t="str">
        <f t="shared" si="84"/>
        <v/>
      </c>
      <c r="T61" s="309" t="str">
        <f t="shared" si="84"/>
        <v/>
      </c>
      <c r="U61" s="309">
        <f t="shared" si="84"/>
        <v>73</v>
      </c>
      <c r="V61" s="309" t="str">
        <f t="shared" si="84"/>
        <v/>
      </c>
      <c r="W61" s="309" t="str">
        <f t="shared" si="84"/>
        <v/>
      </c>
      <c r="X61" s="309" t="str">
        <f t="shared" si="84"/>
        <v/>
      </c>
      <c r="Y61" s="309">
        <f t="shared" ref="Y61:AH62" si="85">IF( ISERR( FIND( "Q4", Y$28 ) ), "", SUM( V56:Y56 ) )</f>
        <v>67</v>
      </c>
      <c r="Z61" s="309" t="str">
        <f t="shared" si="85"/>
        <v/>
      </c>
      <c r="AA61" s="309" t="str">
        <f t="shared" si="85"/>
        <v/>
      </c>
      <c r="AB61" s="309" t="str">
        <f t="shared" si="85"/>
        <v/>
      </c>
      <c r="AC61" s="309">
        <f t="shared" si="85"/>
        <v>73</v>
      </c>
      <c r="AD61" s="309" t="str">
        <f t="shared" si="85"/>
        <v/>
      </c>
      <c r="AE61" s="309" t="str">
        <f t="shared" si="85"/>
        <v/>
      </c>
      <c r="AF61" s="309" t="str">
        <f t="shared" si="85"/>
        <v/>
      </c>
      <c r="AG61" s="309">
        <f t="shared" si="85"/>
        <v>24</v>
      </c>
      <c r="AH61" s="309" t="str">
        <f t="shared" si="85"/>
        <v/>
      </c>
      <c r="AI61" s="309" t="str">
        <f t="shared" ref="AI61:AR62" si="86">IF( ISERR( FIND( "Q4", AI$28 ) ), "", SUM( AF56:AI56 ) )</f>
        <v/>
      </c>
      <c r="AJ61" s="309" t="str">
        <f t="shared" si="86"/>
        <v/>
      </c>
      <c r="AK61" s="309">
        <f t="shared" si="86"/>
        <v>23</v>
      </c>
      <c r="AL61" s="309" t="str">
        <f t="shared" si="86"/>
        <v/>
      </c>
      <c r="AM61" s="309" t="str">
        <f t="shared" si="86"/>
        <v/>
      </c>
      <c r="AN61" s="309" t="str">
        <f t="shared" si="86"/>
        <v/>
      </c>
      <c r="AO61" s="309">
        <f t="shared" si="86"/>
        <v>29</v>
      </c>
      <c r="AP61" s="309" t="str">
        <f t="shared" si="86"/>
        <v/>
      </c>
      <c r="AQ61" s="309" t="str">
        <f t="shared" si="86"/>
        <v/>
      </c>
      <c r="AR61" s="309" t="str">
        <f t="shared" si="86"/>
        <v/>
      </c>
      <c r="AS61" s="309">
        <f t="shared" ref="AS61:AW62" si="87">IF( ISERR( FIND( "Q4", AS$28 ) ), "", SUM( AP56:AS56 ) )</f>
        <v>39</v>
      </c>
      <c r="AT61" s="309" t="str">
        <f t="shared" si="87"/>
        <v/>
      </c>
      <c r="AU61" s="309" t="str">
        <f t="shared" si="87"/>
        <v/>
      </c>
      <c r="AV61" s="309" t="str">
        <f t="shared" si="87"/>
        <v/>
      </c>
      <c r="AW61" s="309">
        <f t="shared" si="87"/>
        <v>37</v>
      </c>
      <c r="AX61" s="309" t="str">
        <f t="shared" ref="AX61:AZ62" si="88">IF( ISERR( FIND( "Q4", AX$28 ) ), "", SUM( AQ56:AX56 ) )</f>
        <v/>
      </c>
      <c r="AY61" s="309" t="str">
        <f t="shared" si="88"/>
        <v/>
      </c>
      <c r="AZ61" s="309" t="str">
        <f t="shared" si="88"/>
        <v/>
      </c>
      <c r="BA61" s="309">
        <f t="shared" ref="BA61:BA62" si="89">IF( ISERR( FIND( "Q4", BA$28 ) ), "", SUM( AX56:BA56 ) )</f>
        <v>60</v>
      </c>
      <c r="BB61" s="309" t="str">
        <f t="shared" ref="BB61:BD62" si="90">IF( ISERR( FIND( "Q4", BB$28 ) ), "", SUM( AQ56:BB56 ) )</f>
        <v/>
      </c>
      <c r="BC61" s="309" t="str">
        <f t="shared" si="90"/>
        <v/>
      </c>
      <c r="BD61" s="309" t="str">
        <f t="shared" si="90"/>
        <v/>
      </c>
      <c r="BE61" s="309">
        <f t="shared" ref="BE61:BE62" si="91">IF( ISERR( FIND( "Q4", BE$28 ) ), "", SUM( BB56:BE56 ) )</f>
        <v>103</v>
      </c>
      <c r="BF61" s="309" t="str">
        <f t="shared" ref="BF61:BH62" si="92">IF( ISERR( FIND( "Q4", BF$28 ) ), "", SUM( AQ56:BF56 ) )</f>
        <v/>
      </c>
      <c r="BG61" s="309" t="str">
        <f t="shared" si="92"/>
        <v/>
      </c>
      <c r="BH61" s="309" t="str">
        <f t="shared" si="92"/>
        <v/>
      </c>
      <c r="BI61" s="309">
        <f t="shared" ref="BI61:BI62" si="93">IF( ISERR( FIND( "Q4", BI$28 ) ), "", SUM( BF56:BI56 ) )</f>
        <v>35</v>
      </c>
      <c r="BJ61" s="309" t="str">
        <f t="shared" ref="BJ61:BL62" si="94">IF( ISERR( FIND( "Q4", BJ$28 ) ), "", SUM( AQ56:BJ56 ) )</f>
        <v/>
      </c>
      <c r="BK61" s="309" t="str">
        <f t="shared" si="94"/>
        <v/>
      </c>
      <c r="BL61" s="309" t="str">
        <f t="shared" si="94"/>
        <v/>
      </c>
      <c r="BM61" s="309">
        <f>IF( ISERR( FIND( "Q4", BM$28 ) ), "", SUM( BJ56:BM56 ) )</f>
        <v>49</v>
      </c>
      <c r="BN61" s="309" t="str">
        <f t="shared" ref="BN61:BP62" si="95">IF( ISERR( FIND( "Q4", BN$28 ) ), "", SUM( AQ56:BN56 ) )</f>
        <v/>
      </c>
      <c r="BO61" s="309" t="str">
        <f t="shared" si="95"/>
        <v/>
      </c>
      <c r="BP61" s="309" t="str">
        <f t="shared" si="95"/>
        <v/>
      </c>
      <c r="BQ61" s="309">
        <f>IF( ISERR( FIND( "Q4", BQ$28 ) ), "", SUM( BN56:BQ56 ) )</f>
        <v>38</v>
      </c>
      <c r="BR61" s="309" t="str">
        <f t="shared" ref="BR61:BT62" si="96">IF( ISERR( FIND( "Q4", BR$28 ) ), "", SUM( AU56:BR56 ) )</f>
        <v/>
      </c>
      <c r="BS61" s="309" t="str">
        <f t="shared" si="96"/>
        <v/>
      </c>
      <c r="BT61" s="309" t="str">
        <f t="shared" si="96"/>
        <v/>
      </c>
      <c r="BU61" s="309">
        <f>IF( ISERR( FIND( "Q4", BU$28 ) ), "", SUM( BR56:BU56 ) )</f>
        <v>41</v>
      </c>
      <c r="BV61" s="309" t="str">
        <f t="shared" ref="BV61:BV62" si="97">IF( ISERR( FIND( "Q4", BV$28 ) ), "", SUM( AY56:BV56 ) )</f>
        <v/>
      </c>
      <c r="BW61" s="309" t="str">
        <f t="shared" ref="BW61:BW62" si="98">IF( ISERR( FIND( "Q4", BW$28 ) ), "", SUM( AZ56:BW56 ) )</f>
        <v/>
      </c>
      <c r="BX61" s="309" t="str">
        <f t="shared" ref="BX61:BX62" si="99">IF( ISERR( FIND( "Q4", BX$28 ) ), "", SUM( BA56:BX56 ) )</f>
        <v/>
      </c>
      <c r="BY61" s="309">
        <f>IF( ISERR( FIND( "Q4", BY$28 ) ), "", SUM( BV56:BY56 ) )</f>
        <v>55</v>
      </c>
      <c r="BZ61" s="309" t="str">
        <f t="shared" ref="BZ61:CC62" si="100">IF( ISERR( FIND( "Q4", BZ$28 ) ), "", SUM( BW56:BZ56 ) )</f>
        <v/>
      </c>
      <c r="CA61" s="309" t="str">
        <f t="shared" si="100"/>
        <v/>
      </c>
      <c r="CB61" s="309" t="str">
        <f t="shared" si="100"/>
        <v/>
      </c>
      <c r="CC61" s="309">
        <f t="shared" si="100"/>
        <v>12</v>
      </c>
      <c r="CD61" s="309" t="str">
        <f t="shared" ref="CD61:CD62" ca="1" si="101">IF( ISERR( FIND( "Q4", CD$28 ) ), "", SUM( CA56:CD56 ) )</f>
        <v/>
      </c>
      <c r="CE61" s="309" t="str">
        <f t="shared" ref="CE61:CE62" ca="1" si="102">IF( ISERR( FIND( "Q4", CE$28 ) ), "", SUM( CB56:CE56 ) )</f>
        <v/>
      </c>
      <c r="CF61" s="309" t="str">
        <f t="shared" ref="CF61:CF62" ca="1" si="103">IF( ISERR( FIND( "Q4", CF$28 ) ), "", SUM( CC56:CF56 ) )</f>
        <v/>
      </c>
      <c r="CG61" s="309">
        <f t="shared" ref="CG61:CG62" ca="1" si="104">IF( ISERR( FIND( "Q4", CG$28 ) ), "", SUM( CD56:CG56 ) )</f>
        <v>20</v>
      </c>
      <c r="CH61" s="309" t="str">
        <f t="shared" ref="CH61:CH62" ca="1" si="105">IF( ISERR( FIND( "Q4", CH$28 ) ), "", SUM( CE56:CH56 ) )</f>
        <v/>
      </c>
      <c r="CI61" s="309" t="str">
        <f t="shared" ref="CI61:CI62" ca="1" si="106">IF( ISERR( FIND( "Q4", CI$28 ) ), "", SUM( CF56:CI56 ) )</f>
        <v/>
      </c>
      <c r="CJ61" s="309" t="str">
        <f t="shared" ref="CJ61:CJ62" ca="1" si="107">IF( ISERR( FIND( "Q4", CJ$28 ) ), "", SUM( CG56:CJ56 ) )</f>
        <v/>
      </c>
      <c r="CK61" s="309">
        <f t="shared" ref="CK61:CK62" ca="1" si="108">IF( ISERR( FIND( "Q4", CK$28 ) ), "", SUM( CH56:CK56 ) )</f>
        <v>9</v>
      </c>
    </row>
    <row r="62" spans="1:89" s="313" customFormat="1" outlineLevel="1" x14ac:dyDescent="0.25">
      <c r="A62" s="312" t="s">
        <v>107</v>
      </c>
      <c r="E62" s="313">
        <f t="shared" si="83"/>
        <v>-150</v>
      </c>
      <c r="F62" s="313" t="str">
        <f t="shared" si="83"/>
        <v/>
      </c>
      <c r="G62" s="313" t="str">
        <f t="shared" si="83"/>
        <v/>
      </c>
      <c r="H62" s="313" t="str">
        <f t="shared" si="83"/>
        <v/>
      </c>
      <c r="I62" s="313">
        <f t="shared" si="83"/>
        <v>-279</v>
      </c>
      <c r="J62" s="313" t="str">
        <f t="shared" si="83"/>
        <v/>
      </c>
      <c r="K62" s="313" t="str">
        <f t="shared" si="83"/>
        <v/>
      </c>
      <c r="L62" s="313" t="str">
        <f t="shared" si="83"/>
        <v/>
      </c>
      <c r="M62" s="313">
        <f t="shared" si="83"/>
        <v>-218</v>
      </c>
      <c r="N62" s="313" t="str">
        <f t="shared" si="83"/>
        <v/>
      </c>
      <c r="O62" s="313" t="str">
        <f t="shared" si="84"/>
        <v/>
      </c>
      <c r="P62" s="313" t="str">
        <f t="shared" si="84"/>
        <v/>
      </c>
      <c r="Q62" s="313">
        <f t="shared" si="84"/>
        <v>-59</v>
      </c>
      <c r="R62" s="313" t="str">
        <f t="shared" si="84"/>
        <v/>
      </c>
      <c r="S62" s="313" t="str">
        <f t="shared" si="84"/>
        <v/>
      </c>
      <c r="T62" s="313" t="str">
        <f t="shared" si="84"/>
        <v/>
      </c>
      <c r="U62" s="313">
        <f t="shared" si="84"/>
        <v>-48</v>
      </c>
      <c r="V62" s="313" t="str">
        <f t="shared" si="84"/>
        <v/>
      </c>
      <c r="W62" s="313" t="str">
        <f t="shared" si="84"/>
        <v/>
      </c>
      <c r="X62" s="313" t="str">
        <f t="shared" si="84"/>
        <v/>
      </c>
      <c r="Y62" s="313">
        <f t="shared" si="85"/>
        <v>-43</v>
      </c>
      <c r="Z62" s="313" t="str">
        <f t="shared" si="85"/>
        <v/>
      </c>
      <c r="AA62" s="313" t="str">
        <f t="shared" si="85"/>
        <v/>
      </c>
      <c r="AB62" s="313" t="str">
        <f t="shared" si="85"/>
        <v/>
      </c>
      <c r="AC62" s="313">
        <f t="shared" si="85"/>
        <v>-48</v>
      </c>
      <c r="AD62" s="313" t="str">
        <f t="shared" si="85"/>
        <v/>
      </c>
      <c r="AE62" s="313" t="str">
        <f t="shared" si="85"/>
        <v/>
      </c>
      <c r="AF62" s="313" t="str">
        <f t="shared" si="85"/>
        <v/>
      </c>
      <c r="AG62" s="313">
        <f t="shared" si="85"/>
        <v>-26</v>
      </c>
      <c r="AH62" s="313" t="str">
        <f t="shared" si="85"/>
        <v/>
      </c>
      <c r="AI62" s="313" t="str">
        <f t="shared" si="86"/>
        <v/>
      </c>
      <c r="AJ62" s="313" t="str">
        <f t="shared" si="86"/>
        <v/>
      </c>
      <c r="AK62" s="313">
        <f t="shared" si="86"/>
        <v>-34</v>
      </c>
      <c r="AL62" s="313" t="str">
        <f t="shared" si="86"/>
        <v/>
      </c>
      <c r="AM62" s="313" t="str">
        <f t="shared" si="86"/>
        <v/>
      </c>
      <c r="AN62" s="313" t="str">
        <f t="shared" si="86"/>
        <v/>
      </c>
      <c r="AO62" s="313">
        <f t="shared" si="86"/>
        <v>-51</v>
      </c>
      <c r="AP62" s="313" t="str">
        <f t="shared" si="86"/>
        <v/>
      </c>
      <c r="AQ62" s="313" t="str">
        <f t="shared" si="86"/>
        <v/>
      </c>
      <c r="AR62" s="313" t="str">
        <f t="shared" si="86"/>
        <v/>
      </c>
      <c r="AS62" s="313">
        <f t="shared" si="87"/>
        <v>-21</v>
      </c>
      <c r="AT62" s="313" t="str">
        <f t="shared" si="87"/>
        <v/>
      </c>
      <c r="AU62" s="313" t="str">
        <f t="shared" si="87"/>
        <v/>
      </c>
      <c r="AV62" s="313" t="str">
        <f t="shared" si="87"/>
        <v/>
      </c>
      <c r="AW62" s="313">
        <f t="shared" si="87"/>
        <v>-39</v>
      </c>
      <c r="AX62" s="313" t="str">
        <f t="shared" si="88"/>
        <v/>
      </c>
      <c r="AY62" s="313" t="str">
        <f t="shared" si="88"/>
        <v/>
      </c>
      <c r="AZ62" s="313" t="str">
        <f t="shared" si="88"/>
        <v/>
      </c>
      <c r="BA62" s="313">
        <f t="shared" si="89"/>
        <v>-20</v>
      </c>
      <c r="BB62" s="313" t="str">
        <f t="shared" si="90"/>
        <v/>
      </c>
      <c r="BC62" s="313" t="str">
        <f t="shared" si="90"/>
        <v/>
      </c>
      <c r="BD62" s="313" t="str">
        <f t="shared" si="90"/>
        <v/>
      </c>
      <c r="BE62" s="313">
        <f t="shared" si="91"/>
        <v>-3</v>
      </c>
      <c r="BF62" s="313" t="str">
        <f t="shared" si="92"/>
        <v/>
      </c>
      <c r="BG62" s="313" t="str">
        <f t="shared" si="92"/>
        <v/>
      </c>
      <c r="BH62" s="313" t="str">
        <f t="shared" si="92"/>
        <v/>
      </c>
      <c r="BI62" s="313">
        <f t="shared" si="93"/>
        <v>-15</v>
      </c>
      <c r="BJ62" s="313" t="str">
        <f t="shared" si="94"/>
        <v/>
      </c>
      <c r="BK62" s="313" t="str">
        <f t="shared" si="94"/>
        <v/>
      </c>
      <c r="BL62" s="313" t="str">
        <f t="shared" si="94"/>
        <v/>
      </c>
      <c r="BM62" s="313">
        <f>IF( ISERR( FIND( "Q4", BM$28 ) ), "", SUM( BJ57:BM57 ) )</f>
        <v>-18</v>
      </c>
      <c r="BN62" s="313" t="str">
        <f t="shared" si="95"/>
        <v/>
      </c>
      <c r="BO62" s="313" t="str">
        <f t="shared" si="95"/>
        <v/>
      </c>
      <c r="BP62" s="313" t="str">
        <f t="shared" si="95"/>
        <v/>
      </c>
      <c r="BQ62" s="313">
        <f>IF( ISERR( FIND( "Q4", BQ$28 ) ), "", SUM( BN57:BQ57 ) )</f>
        <v>-14</v>
      </c>
      <c r="BR62" s="313" t="str">
        <f t="shared" si="96"/>
        <v/>
      </c>
      <c r="BS62" s="313" t="str">
        <f t="shared" si="96"/>
        <v/>
      </c>
      <c r="BT62" s="313" t="str">
        <f t="shared" si="96"/>
        <v/>
      </c>
      <c r="BU62" s="313">
        <f t="shared" ref="BU62" si="109">IF( ISERR( FIND( "Q4", BU$28 ) ), "", SUM( BR57:BU57 ) )</f>
        <v>-52</v>
      </c>
      <c r="BV62" s="313" t="str">
        <f t="shared" si="97"/>
        <v/>
      </c>
      <c r="BW62" s="313" t="str">
        <f t="shared" si="98"/>
        <v/>
      </c>
      <c r="BX62" s="313" t="str">
        <f t="shared" si="99"/>
        <v/>
      </c>
      <c r="BY62" s="313">
        <f t="shared" ref="BY62" si="110">IF( ISERR( FIND( "Q4", BY$28 ) ), "", SUM( BV57:BY57 ) )</f>
        <v>-35</v>
      </c>
      <c r="BZ62" s="313" t="str">
        <f t="shared" si="100"/>
        <v/>
      </c>
      <c r="CA62" s="313" t="str">
        <f t="shared" si="100"/>
        <v/>
      </c>
      <c r="CB62" s="313" t="str">
        <f t="shared" si="100"/>
        <v/>
      </c>
      <c r="CC62" s="313">
        <f t="shared" si="100"/>
        <v>-47</v>
      </c>
      <c r="CD62" s="313" t="str">
        <f t="shared" ca="1" si="101"/>
        <v/>
      </c>
      <c r="CE62" s="313" t="str">
        <f t="shared" ca="1" si="102"/>
        <v/>
      </c>
      <c r="CF62" s="313" t="str">
        <f t="shared" ca="1" si="103"/>
        <v/>
      </c>
      <c r="CG62" s="313">
        <f t="shared" ca="1" si="104"/>
        <v>-32</v>
      </c>
      <c r="CH62" s="313" t="str">
        <f t="shared" ca="1" si="105"/>
        <v/>
      </c>
      <c r="CI62" s="313" t="str">
        <f t="shared" ca="1" si="106"/>
        <v/>
      </c>
      <c r="CJ62" s="313" t="str">
        <f t="shared" ca="1" si="107"/>
        <v/>
      </c>
      <c r="CK62" s="313">
        <f t="shared" ca="1" si="108"/>
        <v>-3</v>
      </c>
    </row>
    <row r="63" spans="1:89" s="139" customFormat="1" outlineLevel="1" x14ac:dyDescent="0.25">
      <c r="A63" s="137" t="s">
        <v>102</v>
      </c>
      <c r="B63" s="138"/>
      <c r="C63" s="138"/>
      <c r="D63" s="138"/>
      <c r="E63" s="138">
        <f t="shared" ref="E63:AS63" si="111">IF( LEN( E61 ) = 0, "", ABS( E61 ) + ABS( E62 ) )</f>
        <v>207</v>
      </c>
      <c r="F63" s="138" t="str">
        <f t="shared" si="111"/>
        <v/>
      </c>
      <c r="G63" s="138" t="str">
        <f t="shared" si="111"/>
        <v/>
      </c>
      <c r="H63" s="138" t="str">
        <f t="shared" si="111"/>
        <v/>
      </c>
      <c r="I63" s="138">
        <f t="shared" si="111"/>
        <v>300</v>
      </c>
      <c r="J63" s="138" t="str">
        <f t="shared" si="111"/>
        <v/>
      </c>
      <c r="K63" s="138" t="str">
        <f t="shared" si="111"/>
        <v/>
      </c>
      <c r="L63" s="138" t="str">
        <f t="shared" si="111"/>
        <v/>
      </c>
      <c r="M63" s="138">
        <f t="shared" si="111"/>
        <v>253</v>
      </c>
      <c r="N63" s="138" t="str">
        <f t="shared" si="111"/>
        <v/>
      </c>
      <c r="O63" s="138" t="str">
        <f t="shared" si="111"/>
        <v/>
      </c>
      <c r="P63" s="138" t="str">
        <f t="shared" si="111"/>
        <v/>
      </c>
      <c r="Q63" s="138">
        <f t="shared" si="111"/>
        <v>110</v>
      </c>
      <c r="R63" s="138" t="str">
        <f t="shared" si="111"/>
        <v/>
      </c>
      <c r="S63" s="138" t="str">
        <f t="shared" si="111"/>
        <v/>
      </c>
      <c r="T63" s="138" t="str">
        <f t="shared" si="111"/>
        <v/>
      </c>
      <c r="U63" s="138">
        <f t="shared" si="111"/>
        <v>121</v>
      </c>
      <c r="V63" s="138" t="str">
        <f t="shared" si="111"/>
        <v/>
      </c>
      <c r="W63" s="138" t="str">
        <f t="shared" si="111"/>
        <v/>
      </c>
      <c r="X63" s="138" t="str">
        <f t="shared" si="111"/>
        <v/>
      </c>
      <c r="Y63" s="138">
        <f t="shared" si="111"/>
        <v>110</v>
      </c>
      <c r="Z63" s="138" t="str">
        <f t="shared" si="111"/>
        <v/>
      </c>
      <c r="AA63" s="138" t="str">
        <f t="shared" si="111"/>
        <v/>
      </c>
      <c r="AB63" s="138" t="str">
        <f t="shared" si="111"/>
        <v/>
      </c>
      <c r="AC63" s="138">
        <f t="shared" si="111"/>
        <v>121</v>
      </c>
      <c r="AD63" s="138" t="str">
        <f t="shared" si="111"/>
        <v/>
      </c>
      <c r="AE63" s="138" t="str">
        <f t="shared" si="111"/>
        <v/>
      </c>
      <c r="AF63" s="138" t="str">
        <f t="shared" si="111"/>
        <v/>
      </c>
      <c r="AG63" s="138">
        <f t="shared" si="111"/>
        <v>50</v>
      </c>
      <c r="AH63" s="138" t="str">
        <f t="shared" si="111"/>
        <v/>
      </c>
      <c r="AI63" s="138" t="str">
        <f t="shared" si="111"/>
        <v/>
      </c>
      <c r="AJ63" s="138" t="str">
        <f t="shared" si="111"/>
        <v/>
      </c>
      <c r="AK63" s="138">
        <f t="shared" si="111"/>
        <v>57</v>
      </c>
      <c r="AL63" s="138" t="str">
        <f t="shared" si="111"/>
        <v/>
      </c>
      <c r="AM63" s="138" t="str">
        <f t="shared" si="111"/>
        <v/>
      </c>
      <c r="AN63" s="138" t="str">
        <f t="shared" si="111"/>
        <v/>
      </c>
      <c r="AO63" s="138">
        <f t="shared" si="111"/>
        <v>80</v>
      </c>
      <c r="AP63" s="138" t="str">
        <f t="shared" si="111"/>
        <v/>
      </c>
      <c r="AQ63" s="138" t="str">
        <f t="shared" si="111"/>
        <v/>
      </c>
      <c r="AR63" s="138" t="str">
        <f t="shared" si="111"/>
        <v/>
      </c>
      <c r="AS63" s="138">
        <f t="shared" si="111"/>
        <v>60</v>
      </c>
      <c r="AT63" s="138" t="str">
        <f t="shared" ref="AT63:BU63" si="112">IF( LEN( AT61 ) = 0, "", ABS( AT61 ) + ABS( AT62 ) )</f>
        <v/>
      </c>
      <c r="AU63" s="138" t="str">
        <f t="shared" si="112"/>
        <v/>
      </c>
      <c r="AV63" s="138" t="str">
        <f t="shared" si="112"/>
        <v/>
      </c>
      <c r="AW63" s="138">
        <f t="shared" si="112"/>
        <v>76</v>
      </c>
      <c r="AX63" s="138" t="str">
        <f t="shared" ref="AX63:BQ63" si="113">IF( LEN( AX61 ) = 0, "", ABS( AX61 ) + ABS( AX62 ) )</f>
        <v/>
      </c>
      <c r="AY63" s="138" t="str">
        <f t="shared" si="113"/>
        <v/>
      </c>
      <c r="AZ63" s="138" t="str">
        <f t="shared" si="113"/>
        <v/>
      </c>
      <c r="BA63" s="138">
        <f t="shared" si="113"/>
        <v>80</v>
      </c>
      <c r="BB63" s="138" t="str">
        <f t="shared" si="113"/>
        <v/>
      </c>
      <c r="BC63" s="138" t="str">
        <f t="shared" si="113"/>
        <v/>
      </c>
      <c r="BD63" s="138" t="str">
        <f t="shared" si="113"/>
        <v/>
      </c>
      <c r="BE63" s="138">
        <f t="shared" si="113"/>
        <v>106</v>
      </c>
      <c r="BF63" s="138" t="str">
        <f t="shared" si="113"/>
        <v/>
      </c>
      <c r="BG63" s="138" t="str">
        <f t="shared" si="113"/>
        <v/>
      </c>
      <c r="BH63" s="138" t="str">
        <f t="shared" si="113"/>
        <v/>
      </c>
      <c r="BI63" s="138">
        <f t="shared" si="113"/>
        <v>50</v>
      </c>
      <c r="BJ63" s="138" t="str">
        <f t="shared" si="113"/>
        <v/>
      </c>
      <c r="BK63" s="138" t="str">
        <f t="shared" si="113"/>
        <v/>
      </c>
      <c r="BL63" s="138" t="str">
        <f t="shared" si="113"/>
        <v/>
      </c>
      <c r="BM63" s="138">
        <f t="shared" si="113"/>
        <v>67</v>
      </c>
      <c r="BN63" s="138" t="str">
        <f t="shared" si="113"/>
        <v/>
      </c>
      <c r="BO63" s="138" t="str">
        <f t="shared" si="113"/>
        <v/>
      </c>
      <c r="BP63" s="138" t="str">
        <f t="shared" si="113"/>
        <v/>
      </c>
      <c r="BQ63" s="138">
        <f t="shared" si="113"/>
        <v>52</v>
      </c>
      <c r="BR63" s="138" t="str">
        <f t="shared" si="112"/>
        <v/>
      </c>
      <c r="BS63" s="138" t="str">
        <f t="shared" si="112"/>
        <v/>
      </c>
      <c r="BT63" s="138" t="str">
        <f t="shared" si="112"/>
        <v/>
      </c>
      <c r="BU63" s="138">
        <f t="shared" si="112"/>
        <v>93</v>
      </c>
      <c r="BV63" s="138" t="str">
        <f t="shared" ref="BV63:CC63" si="114">IF( LEN( BV61 ) = 0, "", ABS( BV61 ) + ABS( BV62 ) )</f>
        <v/>
      </c>
      <c r="BW63" s="138" t="str">
        <f t="shared" si="114"/>
        <v/>
      </c>
      <c r="BX63" s="138" t="str">
        <f t="shared" si="114"/>
        <v/>
      </c>
      <c r="BY63" s="138">
        <f t="shared" si="114"/>
        <v>90</v>
      </c>
      <c r="BZ63" s="138" t="str">
        <f t="shared" si="114"/>
        <v/>
      </c>
      <c r="CA63" s="138" t="str">
        <f t="shared" si="114"/>
        <v/>
      </c>
      <c r="CB63" s="138" t="str">
        <f t="shared" si="114"/>
        <v/>
      </c>
      <c r="CC63" s="138">
        <f t="shared" si="114"/>
        <v>59</v>
      </c>
      <c r="CD63" s="138" t="str">
        <f t="shared" ref="CD63:CG63" ca="1" si="115">IF( LEN( CD61 ) = 0, "", ABS( CD61 ) + ABS( CD62 ) )</f>
        <v/>
      </c>
      <c r="CE63" s="138" t="str">
        <f t="shared" ca="1" si="115"/>
        <v/>
      </c>
      <c r="CF63" s="138" t="str">
        <f t="shared" ca="1" si="115"/>
        <v/>
      </c>
      <c r="CG63" s="138">
        <f t="shared" ca="1" si="115"/>
        <v>52</v>
      </c>
      <c r="CH63" s="138" t="str">
        <f t="shared" ref="CH63:CK63" ca="1" si="116">IF( LEN( CH61 ) = 0, "", ABS( CH61 ) + ABS( CH62 ) )</f>
        <v/>
      </c>
      <c r="CI63" s="138" t="str">
        <f t="shared" ca="1" si="116"/>
        <v/>
      </c>
      <c r="CJ63" s="138" t="str">
        <f t="shared" ca="1" si="116"/>
        <v/>
      </c>
      <c r="CK63" s="138">
        <f t="shared" ca="1" si="116"/>
        <v>12</v>
      </c>
    </row>
    <row r="64" spans="1:89" s="122" customFormat="1" x14ac:dyDescent="0.25">
      <c r="B64" s="123"/>
      <c r="C64" s="123"/>
      <c r="D64" s="123"/>
      <c r="E64" s="123"/>
      <c r="F64" s="123"/>
      <c r="G64" s="123"/>
      <c r="H64" s="123"/>
      <c r="I64" s="123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-- 2021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 ca="1">G2</f>
        <v>Reg_Percent_2020</v>
      </c>
      <c r="G2" s="172" t="s">
        <v>324</v>
      </c>
      <c r="AJ2" s="173" t="str">
        <f ca="1">AJ4 &amp; AJ3</f>
        <v>'Credit_2021Q1'!d:d</v>
      </c>
      <c r="AK2" s="173" t="str">
        <f ca="1">AK4 &amp; AK3</f>
        <v>'Credit_2021Q1'!b1</v>
      </c>
      <c r="AL2" s="173" t="str">
        <f ca="1">AL4 &amp; AL3</f>
        <v>'Credit_2021Q1'!c1</v>
      </c>
      <c r="AQ2" s="169"/>
    </row>
    <row r="3" spans="1:61" ht="18" hidden="1" outlineLevel="1" x14ac:dyDescent="0.25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 ca="1">$AQ$5</f>
        <v>'Credit_2021Q1'!</v>
      </c>
      <c r="AK4" s="169" t="str">
        <f t="shared" ref="AK4:AL4" ca="1" si="0">$AQ$5</f>
        <v>'Credit_2021Q1'!</v>
      </c>
      <c r="AL4" s="169" t="str">
        <f t="shared" ca="1" si="0"/>
        <v>'Credit_2021Q1'!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 ca="1"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(9)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329</v>
      </c>
    </row>
    <row r="6" spans="1:61" ht="28.5" customHeight="1" x14ac:dyDescent="0.25">
      <c r="A6" s="219" t="s">
        <v>217</v>
      </c>
      <c r="B6" s="220" t="s">
        <v>330</v>
      </c>
      <c r="C6" s="249" t="s">
        <v>219</v>
      </c>
      <c r="D6" s="221"/>
      <c r="E6" s="222">
        <f ca="1">INDIRECT( E3 &amp; G1 )</f>
        <v>44196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286</v>
      </c>
      <c r="B14" s="224" t="s">
        <v>144</v>
      </c>
      <c r="C14" s="224">
        <v>20</v>
      </c>
      <c r="D14" s="224" t="s">
        <v>287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8" x14ac:dyDescent="0.25">
      <c r="A15" s="223" t="s">
        <v>248</v>
      </c>
      <c r="B15" s="224" t="s">
        <v>144</v>
      </c>
      <c r="C15" s="224">
        <v>20</v>
      </c>
      <c r="D15" s="224" t="s">
        <v>249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8" x14ac:dyDescent="0.25">
      <c r="A16" s="223" t="s">
        <v>298</v>
      </c>
      <c r="B16" s="224" t="s">
        <v>144</v>
      </c>
      <c r="C16" s="224">
        <v>20</v>
      </c>
      <c r="D16" s="224" t="s">
        <v>299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aca="1" ref="L16" ca="1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18.742857142857144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8" x14ac:dyDescent="0.2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8" x14ac:dyDescent="0.2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8" x14ac:dyDescent="0.25">
      <c r="A19" s="223" t="s">
        <v>230</v>
      </c>
      <c r="B19" s="224" t="s">
        <v>145</v>
      </c>
      <c r="C19" s="224">
        <v>19</v>
      </c>
      <c r="D19" s="224" t="s">
        <v>231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8" x14ac:dyDescent="0.25">
      <c r="A20" s="223" t="s">
        <v>238</v>
      </c>
      <c r="B20" s="224" t="s">
        <v>145</v>
      </c>
      <c r="C20" s="224">
        <v>19</v>
      </c>
      <c r="D20" s="224" t="s">
        <v>239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8" x14ac:dyDescent="0.25">
      <c r="A21" s="223" t="s">
        <v>250</v>
      </c>
      <c r="B21" s="224" t="s">
        <v>145</v>
      </c>
      <c r="C21" s="224">
        <v>19</v>
      </c>
      <c r="D21" s="224" t="s">
        <v>251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8" x14ac:dyDescent="0.25">
      <c r="A22" s="223" t="s">
        <v>254</v>
      </c>
      <c r="B22" s="224" t="s">
        <v>145</v>
      </c>
      <c r="C22" s="224">
        <v>19</v>
      </c>
      <c r="D22" s="224" t="s">
        <v>255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8" x14ac:dyDescent="0.25">
      <c r="A23" s="223" t="s">
        <v>261</v>
      </c>
      <c r="B23" s="224" t="s">
        <v>145</v>
      </c>
      <c r="C23" s="224">
        <v>19</v>
      </c>
      <c r="D23" s="224" t="s">
        <v>262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8" x14ac:dyDescent="0.25">
      <c r="A24" s="223" t="s">
        <v>263</v>
      </c>
      <c r="B24" s="224" t="s">
        <v>145</v>
      </c>
      <c r="C24" s="224">
        <v>19</v>
      </c>
      <c r="D24" s="224" t="s">
        <v>199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8" x14ac:dyDescent="0.2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8" x14ac:dyDescent="0.2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8" x14ac:dyDescent="0.2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180</v>
      </c>
      <c r="AS28" s="207">
        <v>15</v>
      </c>
      <c r="AT28" s="207" t="s">
        <v>281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144</v>
      </c>
      <c r="AS39" s="207">
        <v>20</v>
      </c>
      <c r="AT39" s="207" t="s">
        <v>287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284</v>
      </c>
      <c r="B45" s="224" t="s">
        <v>147</v>
      </c>
      <c r="C45" s="224">
        <v>17</v>
      </c>
      <c r="D45" s="224" t="s">
        <v>285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8" x14ac:dyDescent="0.25">
      <c r="A46" s="223" t="s">
        <v>310</v>
      </c>
      <c r="B46" s="224" t="s">
        <v>147</v>
      </c>
      <c r="C46" s="224">
        <v>17</v>
      </c>
      <c r="D46" s="224" t="s">
        <v>311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144</v>
      </c>
      <c r="AS46" s="207">
        <v>20</v>
      </c>
      <c r="AT46" s="207" t="s">
        <v>299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8" x14ac:dyDescent="0.25">
      <c r="A47" s="223" t="s">
        <v>264</v>
      </c>
      <c r="B47" s="224" t="s">
        <v>178</v>
      </c>
      <c r="C47" s="224">
        <v>16</v>
      </c>
      <c r="D47" s="224" t="s">
        <v>265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8" x14ac:dyDescent="0.25">
      <c r="A48" s="223" t="s">
        <v>280</v>
      </c>
      <c r="B48" s="224" t="s">
        <v>180</v>
      </c>
      <c r="C48" s="224">
        <v>15</v>
      </c>
      <c r="D48" s="224" t="s">
        <v>281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8" x14ac:dyDescent="0.2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51" priority="31" stopIfTrue="1">
      <formula>IF( $AH7 = 1, TRUE, FALSE )</formula>
    </cfRule>
    <cfRule type="expression" dxfId="1450" priority="32" stopIfTrue="1">
      <formula>IF( $AG7 = 1, TRUE, FALSE )</formula>
    </cfRule>
    <cfRule type="expression" dxfId="1449" priority="33" stopIfTrue="1">
      <formula>IF( $AF7 = 1, TRUE, FALSE )</formula>
    </cfRule>
  </conditionalFormatting>
  <conditionalFormatting sqref="A67:E67">
    <cfRule type="expression" dxfId="1448" priority="34" stopIfTrue="1">
      <formula>IF( $AH67 = 1, TRUE, FALSE )</formula>
    </cfRule>
    <cfRule type="expression" dxfId="1447" priority="35" stopIfTrue="1">
      <formula>IF( $AG67 = 1, TRUE, FALSE )</formula>
    </cfRule>
    <cfRule type="expression" dxfId="1446" priority="36" stopIfTrue="1">
      <formula>IF( $AF67 = 1, TRUE, FALSE )</formula>
    </cfRule>
  </conditionalFormatting>
  <conditionalFormatting sqref="A66:E66">
    <cfRule type="expression" dxfId="1445" priority="28" stopIfTrue="1">
      <formula>IF( $AH66 = 1, TRUE, FALSE )</formula>
    </cfRule>
    <cfRule type="expression" dxfId="1444" priority="29" stopIfTrue="1">
      <formula>IF( $AG66 = 1, TRUE, FALSE )</formula>
    </cfRule>
    <cfRule type="expression" dxfId="1443" priority="30" stopIfTrue="1">
      <formula>IF( $AF66 = 1, TRUE, FALSE )</formula>
    </cfRule>
  </conditionalFormatting>
  <conditionalFormatting sqref="A8:D33 B7:D7 A35:D58">
    <cfRule type="expression" dxfId="1442" priority="25" stopIfTrue="1">
      <formula>IF( $AH7 = 1, TRUE, FALSE )</formula>
    </cfRule>
    <cfRule type="expression" dxfId="1441" priority="26" stopIfTrue="1">
      <formula>IF( $AG7 = 1, TRUE, FALSE )</formula>
    </cfRule>
    <cfRule type="expression" dxfId="1440" priority="27" stopIfTrue="1">
      <formula>IF( $AF7 = 1, TRUE, FALSE )</formula>
    </cfRule>
  </conditionalFormatting>
  <conditionalFormatting sqref="A59:D59">
    <cfRule type="expression" dxfId="1439" priority="22" stopIfTrue="1">
      <formula>IF( $AH59 = 1, TRUE, FALSE )</formula>
    </cfRule>
    <cfRule type="expression" dxfId="1438" priority="23" stopIfTrue="1">
      <formula>IF( $AG59 = 1, TRUE, FALSE )</formula>
    </cfRule>
    <cfRule type="expression" dxfId="1437" priority="24" stopIfTrue="1">
      <formula>IF( $AF59 = 1, TRUE, FALSE )</formula>
    </cfRule>
  </conditionalFormatting>
  <conditionalFormatting sqref="A61:D65">
    <cfRule type="expression" dxfId="1436" priority="19" stopIfTrue="1">
      <formula>IF( $AH61 = 1, TRUE, FALSE )</formula>
    </cfRule>
    <cfRule type="expression" dxfId="1435" priority="20" stopIfTrue="1">
      <formula>IF( $AG61 = 1, TRUE, FALSE )</formula>
    </cfRule>
    <cfRule type="expression" dxfId="1434" priority="21" stopIfTrue="1">
      <formula>IF( $AF61 = 1, TRUE, FALSE )</formula>
    </cfRule>
  </conditionalFormatting>
  <conditionalFormatting sqref="U8:U12">
    <cfRule type="cellIs" dxfId="1433" priority="18" operator="equal">
      <formula>0</formula>
    </cfRule>
  </conditionalFormatting>
  <conditionalFormatting sqref="O8:O12 Q8:Q12">
    <cfRule type="cellIs" dxfId="1432" priority="17" operator="equal">
      <formula>0</formula>
    </cfRule>
  </conditionalFormatting>
  <conditionalFormatting sqref="V8:V12">
    <cfRule type="cellIs" dxfId="1431" priority="16" operator="equal">
      <formula>0</formula>
    </cfRule>
  </conditionalFormatting>
  <conditionalFormatting sqref="S8:S12">
    <cfRule type="cellIs" dxfId="1430" priority="14" operator="equal">
      <formula>0</formula>
    </cfRule>
  </conditionalFormatting>
  <conditionalFormatting sqref="R8:R12">
    <cfRule type="cellIs" dxfId="1429" priority="15" operator="equal">
      <formula>0</formula>
    </cfRule>
  </conditionalFormatting>
  <conditionalFormatting sqref="P8:P12">
    <cfRule type="cellIs" dxfId="1428" priority="13" operator="equal">
      <formula>0</formula>
    </cfRule>
  </conditionalFormatting>
  <conditionalFormatting sqref="M8:M12">
    <cfRule type="cellIs" dxfId="1427" priority="12" operator="equal">
      <formula>0</formula>
    </cfRule>
  </conditionalFormatting>
  <conditionalFormatting sqref="T8:T12">
    <cfRule type="cellIs" dxfId="1426" priority="11" operator="equal">
      <formula>0</formula>
    </cfRule>
  </conditionalFormatting>
  <conditionalFormatting sqref="N8:N12">
    <cfRule type="cellIs" dxfId="1425" priority="10" operator="equal">
      <formula>0</formula>
    </cfRule>
  </conditionalFormatting>
  <conditionalFormatting sqref="K8:K12">
    <cfRule type="cellIs" dxfId="1424" priority="9" operator="equal">
      <formula>0</formula>
    </cfRule>
  </conditionalFormatting>
  <conditionalFormatting sqref="I8:I12">
    <cfRule type="cellIs" dxfId="1423" priority="8" operator="equal">
      <formula>0</formula>
    </cfRule>
  </conditionalFormatting>
  <conditionalFormatting sqref="W8:W12">
    <cfRule type="cellIs" dxfId="1422" priority="7" operator="equal">
      <formula>0</formula>
    </cfRule>
  </conditionalFormatting>
  <conditionalFormatting sqref="A7">
    <cfRule type="expression" dxfId="1421" priority="4" stopIfTrue="1">
      <formula>IF( $AH7 = 1, TRUE, FALSE )</formula>
    </cfRule>
    <cfRule type="expression" dxfId="1420" priority="5" stopIfTrue="1">
      <formula>IF( $AG7 = 1, TRUE, FALSE )</formula>
    </cfRule>
    <cfRule type="expression" dxfId="1419" priority="6" stopIfTrue="1">
      <formula>IF( $AF7 = 1, TRUE, FALSE )</formula>
    </cfRule>
  </conditionalFormatting>
  <conditionalFormatting sqref="A34:D34">
    <cfRule type="expression" dxfId="1418" priority="1" stopIfTrue="1">
      <formula>IF( $AH34 = 1, TRUE, FALSE )</formula>
    </cfRule>
    <cfRule type="expression" dxfId="1417" priority="2" stopIfTrue="1">
      <formula>IF( $AG34 = 1, TRUE, FALSE )</formula>
    </cfRule>
    <cfRule type="expression" dxfId="141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-- 2021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 ca="1">G2</f>
        <v>Reg_Percent_2020</v>
      </c>
      <c r="G2" s="172" t="s">
        <v>324</v>
      </c>
      <c r="AJ2" s="173" t="str">
        <f ca="1">AJ4 &amp; AJ3</f>
        <v>'Credit_2020Q4'!d:d</v>
      </c>
      <c r="AK2" s="173" t="str">
        <f ca="1">AK4 &amp; AK3</f>
        <v>'Credit_2020Q4'!b1</v>
      </c>
      <c r="AL2" s="173" t="str">
        <f ca="1">AL4 &amp; AL3</f>
        <v>'Credit_2020Q4'!c1</v>
      </c>
      <c r="AQ2" s="169"/>
    </row>
    <row r="3" spans="1:61" ht="18" hidden="1" outlineLevel="1" x14ac:dyDescent="0.25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 ca="1">$AQ$5</f>
        <v>'Credit_2020Q4'!</v>
      </c>
      <c r="AK4" s="169" t="str">
        <f t="shared" ref="AK4:AL4" ca="1" si="0">$AQ$5</f>
        <v>'Credit_2020Q4'!</v>
      </c>
      <c r="AL4" s="169" t="str">
        <f t="shared" ca="1" si="0"/>
        <v>'Credit_2020Q4'!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 ca="1"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(9)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331</v>
      </c>
    </row>
    <row r="6" spans="1:61" ht="28.5" customHeight="1" x14ac:dyDescent="0.25">
      <c r="A6" s="219" t="s">
        <v>217</v>
      </c>
      <c r="B6" s="220" t="s">
        <v>332</v>
      </c>
      <c r="C6" s="249" t="s">
        <v>219</v>
      </c>
      <c r="D6" s="221"/>
      <c r="E6" s="222">
        <f ca="1">INDIRECT( E3 &amp; G1 )</f>
        <v>44196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12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13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14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286</v>
      </c>
      <c r="B14" s="224" t="s">
        <v>144</v>
      </c>
      <c r="C14" s="224">
        <v>20</v>
      </c>
      <c r="D14" s="224" t="s">
        <v>287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8" x14ac:dyDescent="0.25">
      <c r="A15" s="223" t="s">
        <v>248</v>
      </c>
      <c r="B15" s="224" t="s">
        <v>144</v>
      </c>
      <c r="C15" s="224">
        <v>20</v>
      </c>
      <c r="D15" s="224" t="s">
        <v>249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16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8" x14ac:dyDescent="0.25">
      <c r="A16" s="223" t="s">
        <v>298</v>
      </c>
      <c r="B16" s="224" t="s">
        <v>144</v>
      </c>
      <c r="C16" s="224">
        <v>20</v>
      </c>
      <c r="D16" s="224" t="s">
        <v>299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aca="1" ref="L16" ca="1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18.742857142857144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17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8" x14ac:dyDescent="0.2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18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8" x14ac:dyDescent="0.2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19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8" x14ac:dyDescent="0.25">
      <c r="A19" s="223" t="s">
        <v>230</v>
      </c>
      <c r="B19" s="224" t="s">
        <v>145</v>
      </c>
      <c r="C19" s="224">
        <v>19</v>
      </c>
      <c r="D19" s="224" t="s">
        <v>231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20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8" x14ac:dyDescent="0.25">
      <c r="A20" s="223" t="s">
        <v>238</v>
      </c>
      <c r="B20" s="224" t="s">
        <v>145</v>
      </c>
      <c r="C20" s="224">
        <v>19</v>
      </c>
      <c r="D20" s="224" t="s">
        <v>239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8" x14ac:dyDescent="0.25">
      <c r="A21" s="223" t="s">
        <v>250</v>
      </c>
      <c r="B21" s="224" t="s">
        <v>145</v>
      </c>
      <c r="C21" s="224">
        <v>19</v>
      </c>
      <c r="D21" s="224" t="s">
        <v>251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8" x14ac:dyDescent="0.25">
      <c r="A22" s="223" t="s">
        <v>254</v>
      </c>
      <c r="B22" s="224" t="s">
        <v>145</v>
      </c>
      <c r="C22" s="224">
        <v>19</v>
      </c>
      <c r="D22" s="224" t="s">
        <v>255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8" x14ac:dyDescent="0.25">
      <c r="A23" s="223" t="s">
        <v>261</v>
      </c>
      <c r="B23" s="224" t="s">
        <v>145</v>
      </c>
      <c r="C23" s="224">
        <v>19</v>
      </c>
      <c r="D23" s="224" t="s">
        <v>262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8" x14ac:dyDescent="0.25">
      <c r="A24" s="223" t="s">
        <v>263</v>
      </c>
      <c r="B24" s="224" t="s">
        <v>145</v>
      </c>
      <c r="C24" s="224">
        <v>19</v>
      </c>
      <c r="D24" s="224" t="s">
        <v>199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8" x14ac:dyDescent="0.2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8" x14ac:dyDescent="0.2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>
        <f t="shared" ca="1" si="19"/>
        <v>1</v>
      </c>
      <c r="AJ26" s="169">
        <f t="shared" ca="1" si="20"/>
        <v>11</v>
      </c>
      <c r="AK26" s="169" t="str">
        <f t="shared" ca="1" si="21"/>
        <v>A-</v>
      </c>
      <c r="AL26" s="169">
        <f t="shared" ca="1" si="21"/>
        <v>20</v>
      </c>
      <c r="AM26" s="169" t="str">
        <f t="shared" ca="1" si="4"/>
        <v>Change</v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8" x14ac:dyDescent="0.2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180</v>
      </c>
      <c r="AS28" s="207">
        <v>15</v>
      </c>
      <c r="AT28" s="207" t="s">
        <v>281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144</v>
      </c>
      <c r="AS39" s="207">
        <v>20</v>
      </c>
      <c r="AT39" s="207" t="s">
        <v>287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43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40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41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42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284</v>
      </c>
      <c r="B45" s="224" t="s">
        <v>147</v>
      </c>
      <c r="C45" s="224">
        <v>17</v>
      </c>
      <c r="D45" s="224" t="s">
        <v>285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44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8" x14ac:dyDescent="0.25">
      <c r="A46" s="223" t="s">
        <v>310</v>
      </c>
      <c r="B46" s="224" t="s">
        <v>147</v>
      </c>
      <c r="C46" s="224">
        <v>17</v>
      </c>
      <c r="D46" s="224" t="s">
        <v>311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144</v>
      </c>
      <c r="AS46" s="207">
        <v>20</v>
      </c>
      <c r="AT46" s="207" t="s">
        <v>299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8" x14ac:dyDescent="0.25">
      <c r="A47" s="223" t="s">
        <v>264</v>
      </c>
      <c r="B47" s="224" t="s">
        <v>178</v>
      </c>
      <c r="C47" s="224">
        <v>16</v>
      </c>
      <c r="D47" s="224" t="s">
        <v>265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8" x14ac:dyDescent="0.25">
      <c r="A48" s="223" t="s">
        <v>280</v>
      </c>
      <c r="B48" s="224" t="s">
        <v>180</v>
      </c>
      <c r="C48" s="224">
        <v>15</v>
      </c>
      <c r="D48" s="224" t="s">
        <v>281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8" x14ac:dyDescent="0.2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15" priority="31" stopIfTrue="1">
      <formula>IF( $AH7 = 1, TRUE, FALSE )</formula>
    </cfRule>
    <cfRule type="expression" dxfId="1414" priority="32" stopIfTrue="1">
      <formula>IF( $AG7 = 1, TRUE, FALSE )</formula>
    </cfRule>
    <cfRule type="expression" dxfId="1413" priority="33" stopIfTrue="1">
      <formula>IF( $AF7 = 1, TRUE, FALSE )</formula>
    </cfRule>
  </conditionalFormatting>
  <conditionalFormatting sqref="A67:E67">
    <cfRule type="expression" dxfId="1412" priority="34" stopIfTrue="1">
      <formula>IF( $AH67 = 1, TRUE, FALSE )</formula>
    </cfRule>
    <cfRule type="expression" dxfId="1411" priority="35" stopIfTrue="1">
      <formula>IF( $AG67 = 1, TRUE, FALSE )</formula>
    </cfRule>
    <cfRule type="expression" dxfId="1410" priority="36" stopIfTrue="1">
      <formula>IF( $AF67 = 1, TRUE, FALSE )</formula>
    </cfRule>
  </conditionalFormatting>
  <conditionalFormatting sqref="A66:E66">
    <cfRule type="expression" dxfId="1409" priority="28" stopIfTrue="1">
      <formula>IF( $AH66 = 1, TRUE, FALSE )</formula>
    </cfRule>
    <cfRule type="expression" dxfId="1408" priority="29" stopIfTrue="1">
      <formula>IF( $AG66 = 1, TRUE, FALSE )</formula>
    </cfRule>
    <cfRule type="expression" dxfId="1407" priority="30" stopIfTrue="1">
      <formula>IF( $AF66 = 1, TRUE, FALSE )</formula>
    </cfRule>
  </conditionalFormatting>
  <conditionalFormatting sqref="A8:D33 B7:D7 A35:D58">
    <cfRule type="expression" dxfId="1406" priority="25" stopIfTrue="1">
      <formula>IF( $AH7 = 1, TRUE, FALSE )</formula>
    </cfRule>
    <cfRule type="expression" dxfId="1405" priority="26" stopIfTrue="1">
      <formula>IF( $AG7 = 1, TRUE, FALSE )</formula>
    </cfRule>
    <cfRule type="expression" dxfId="1404" priority="27" stopIfTrue="1">
      <formula>IF( $AF7 = 1, TRUE, FALSE )</formula>
    </cfRule>
  </conditionalFormatting>
  <conditionalFormatting sqref="A59:D59">
    <cfRule type="expression" dxfId="1403" priority="22" stopIfTrue="1">
      <formula>IF( $AH59 = 1, TRUE, FALSE )</formula>
    </cfRule>
    <cfRule type="expression" dxfId="1402" priority="23" stopIfTrue="1">
      <formula>IF( $AG59 = 1, TRUE, FALSE )</formula>
    </cfRule>
    <cfRule type="expression" dxfId="1401" priority="24" stopIfTrue="1">
      <formula>IF( $AF59 = 1, TRUE, FALSE )</formula>
    </cfRule>
  </conditionalFormatting>
  <conditionalFormatting sqref="A61:D65">
    <cfRule type="expression" dxfId="1400" priority="19" stopIfTrue="1">
      <formula>IF( $AH61 = 1, TRUE, FALSE )</formula>
    </cfRule>
    <cfRule type="expression" dxfId="1399" priority="20" stopIfTrue="1">
      <formula>IF( $AG61 = 1, TRUE, FALSE )</formula>
    </cfRule>
    <cfRule type="expression" dxfId="1398" priority="21" stopIfTrue="1">
      <formula>IF( $AF61 = 1, TRUE, FALSE )</formula>
    </cfRule>
  </conditionalFormatting>
  <conditionalFormatting sqref="U8:U12">
    <cfRule type="cellIs" dxfId="1397" priority="18" operator="equal">
      <formula>0</formula>
    </cfRule>
  </conditionalFormatting>
  <conditionalFormatting sqref="O8:O12 Q8:Q12">
    <cfRule type="cellIs" dxfId="1396" priority="17" operator="equal">
      <formula>0</formula>
    </cfRule>
  </conditionalFormatting>
  <conditionalFormatting sqref="V8:V12">
    <cfRule type="cellIs" dxfId="1395" priority="16" operator="equal">
      <formula>0</formula>
    </cfRule>
  </conditionalFormatting>
  <conditionalFormatting sqref="S8:S12">
    <cfRule type="cellIs" dxfId="1394" priority="14" operator="equal">
      <formula>0</formula>
    </cfRule>
  </conditionalFormatting>
  <conditionalFormatting sqref="R8:R12">
    <cfRule type="cellIs" dxfId="1393" priority="15" operator="equal">
      <formula>0</formula>
    </cfRule>
  </conditionalFormatting>
  <conditionalFormatting sqref="P8:P12">
    <cfRule type="cellIs" dxfId="1392" priority="13" operator="equal">
      <formula>0</formula>
    </cfRule>
  </conditionalFormatting>
  <conditionalFormatting sqref="M8:M12">
    <cfRule type="cellIs" dxfId="1391" priority="12" operator="equal">
      <formula>0</formula>
    </cfRule>
  </conditionalFormatting>
  <conditionalFormatting sqref="T8:T12">
    <cfRule type="cellIs" dxfId="1390" priority="11" operator="equal">
      <formula>0</formula>
    </cfRule>
  </conditionalFormatting>
  <conditionalFormatting sqref="N8:N12">
    <cfRule type="cellIs" dxfId="1389" priority="10" operator="equal">
      <formula>0</formula>
    </cfRule>
  </conditionalFormatting>
  <conditionalFormatting sqref="K8:K12">
    <cfRule type="cellIs" dxfId="1388" priority="9" operator="equal">
      <formula>0</formula>
    </cfRule>
  </conditionalFormatting>
  <conditionalFormatting sqref="I8:I12">
    <cfRule type="cellIs" dxfId="1387" priority="8" operator="equal">
      <formula>0</formula>
    </cfRule>
  </conditionalFormatting>
  <conditionalFormatting sqref="W8:W12">
    <cfRule type="cellIs" dxfId="1386" priority="7" operator="equal">
      <formula>0</formula>
    </cfRule>
  </conditionalFormatting>
  <conditionalFormatting sqref="A7">
    <cfRule type="expression" dxfId="1385" priority="4" stopIfTrue="1">
      <formula>IF( $AH7 = 1, TRUE, FALSE )</formula>
    </cfRule>
    <cfRule type="expression" dxfId="1384" priority="5" stopIfTrue="1">
      <formula>IF( $AG7 = 1, TRUE, FALSE )</formula>
    </cfRule>
    <cfRule type="expression" dxfId="1383" priority="6" stopIfTrue="1">
      <formula>IF( $AF7 = 1, TRUE, FALSE )</formula>
    </cfRule>
  </conditionalFormatting>
  <conditionalFormatting sqref="A34:D34">
    <cfRule type="expression" dxfId="1382" priority="1" stopIfTrue="1">
      <formula>IF( $AH34 = 1, TRUE, FALSE )</formula>
    </cfRule>
    <cfRule type="expression" dxfId="1381" priority="2" stopIfTrue="1">
      <formula>IF( $AG34 = 1, TRUE, FALSE )</formula>
    </cfRule>
    <cfRule type="expression" dxfId="138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-- 2020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Reg_Percent_2019</v>
      </c>
      <c r="G2" s="172" t="s">
        <v>333</v>
      </c>
      <c r="AJ2" s="173" t="str">
        <f>AJ4 &amp; AJ3</f>
        <v>'Credit_2020Q3'!d:d</v>
      </c>
      <c r="AK2" s="173" t="str">
        <f>AK4 &amp; AK3</f>
        <v>'Credit_2020Q3'!b1</v>
      </c>
      <c r="AL2" s="173" t="str">
        <f>AL4 &amp; AL3</f>
        <v>'Credit_2020Q3'!c1</v>
      </c>
      <c r="AQ2" s="169"/>
    </row>
    <row r="3" spans="1:61" ht="18" hidden="1" outlineLevel="1" x14ac:dyDescent="0.2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'Credit_2020Q3'!</v>
      </c>
      <c r="AK4" s="169" t="str">
        <f t="shared" ref="AK4:AL4" si="0">$AQ$5</f>
        <v>'Credit_2020Q3'!</v>
      </c>
      <c r="AL4" s="169" t="str">
        <f t="shared" si="0"/>
        <v>'Credit_2020Q3'!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334</v>
      </c>
    </row>
    <row r="6" spans="1:61" ht="28.5" customHeight="1" x14ac:dyDescent="0.25">
      <c r="A6" s="219" t="s">
        <v>217</v>
      </c>
      <c r="B6" s="220" t="s">
        <v>335</v>
      </c>
      <c r="C6" s="249" t="s">
        <v>219</v>
      </c>
      <c r="D6" s="221"/>
      <c r="E6" s="222">
        <f ca="1">INDIRECT( E3 &amp; G1 )</f>
        <v>43830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0.20588235294117646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ht="13.8" x14ac:dyDescent="0.2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19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ht="13.8" x14ac:dyDescent="0.2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6.8181818181818177E-2</v>
      </c>
      <c r="N13" s="235"/>
      <c r="O13" s="217">
        <f t="shared" ca="1" si="12"/>
        <v>3</v>
      </c>
      <c r="P13" s="218">
        <f t="shared" ca="1" si="13"/>
        <v>8.8235294117647065E-2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20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18.84090909090909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27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33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18.818181818181817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18.764705882352942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36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40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42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43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ht="13.8" x14ac:dyDescent="0.25">
      <c r="A20" s="223" t="s">
        <v>230</v>
      </c>
      <c r="B20" s="224" t="s">
        <v>145</v>
      </c>
      <c r="C20" s="224">
        <v>19</v>
      </c>
      <c r="D20" s="224" t="s">
        <v>231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si="5"/>
        <v>41</v>
      </c>
      <c r="AW20" s="168">
        <f>COUNTIF( AV$7:AV20, AV20 )</f>
        <v>1</v>
      </c>
      <c r="AX20" s="208">
        <f t="shared" si="22"/>
        <v>41.1</v>
      </c>
      <c r="AY20" s="168">
        <f t="shared" si="6"/>
        <v>41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ht="13.8" x14ac:dyDescent="0.25">
      <c r="A21" s="223" t="s">
        <v>238</v>
      </c>
      <c r="B21" s="224" t="s">
        <v>145</v>
      </c>
      <c r="C21" s="224">
        <v>19</v>
      </c>
      <c r="D21" s="224" t="s">
        <v>239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ht="13.8" x14ac:dyDescent="0.25">
      <c r="A22" s="223" t="s">
        <v>250</v>
      </c>
      <c r="B22" s="224" t="s">
        <v>145</v>
      </c>
      <c r="C22" s="224">
        <v>19</v>
      </c>
      <c r="D22" s="224" t="s">
        <v>251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ht="13.8" x14ac:dyDescent="0.25">
      <c r="A23" s="223" t="s">
        <v>254</v>
      </c>
      <c r="B23" s="224" t="s">
        <v>145</v>
      </c>
      <c r="C23" s="224">
        <v>19</v>
      </c>
      <c r="D23" s="224" t="s">
        <v>255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ht="13.8" x14ac:dyDescent="0.2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si="5"/>
        <v>14</v>
      </c>
      <c r="AW24" s="168">
        <f>COUNTIF( AV$7:AV24, AV24 )</f>
        <v>8</v>
      </c>
      <c r="AX24" s="208">
        <f t="shared" si="22"/>
        <v>14.8</v>
      </c>
      <c r="AY24" s="168">
        <f t="shared" si="6"/>
        <v>21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ht="13.8" x14ac:dyDescent="0.25">
      <c r="A25" s="223" t="s">
        <v>263</v>
      </c>
      <c r="B25" s="224" t="s">
        <v>145</v>
      </c>
      <c r="C25" s="224">
        <v>19</v>
      </c>
      <c r="D25" s="224" t="s">
        <v>199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si="5"/>
        <v>2</v>
      </c>
      <c r="AW25" s="168">
        <f>COUNTIF( AV$7:AV25, AV25 )</f>
        <v>5</v>
      </c>
      <c r="AX25" s="208">
        <f t="shared" si="22"/>
        <v>2.5</v>
      </c>
      <c r="AY25" s="168">
        <f t="shared" si="6"/>
        <v>6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ht="13.8" x14ac:dyDescent="0.2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si="5"/>
        <v>2</v>
      </c>
      <c r="AW26" s="168">
        <f>COUNTIF( AV$7:AV26, AV26 )</f>
        <v>6</v>
      </c>
      <c r="AX26" s="208">
        <f t="shared" si="22"/>
        <v>2.6</v>
      </c>
      <c r="AY26" s="168">
        <f t="shared" si="6"/>
        <v>7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ht="13.8" x14ac:dyDescent="0.2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si="5"/>
        <v>14</v>
      </c>
      <c r="AW27" s="168">
        <f>COUNTIF( AV$7:AV27, AV27 )</f>
        <v>9</v>
      </c>
      <c r="AX27" s="208">
        <f t="shared" si="22"/>
        <v>14.9</v>
      </c>
      <c r="AY27" s="168">
        <f t="shared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180</v>
      </c>
      <c r="AS28" s="207">
        <v>15</v>
      </c>
      <c r="AT28" s="207" t="s">
        <v>281</v>
      </c>
      <c r="AV28" s="168">
        <f t="shared" si="5"/>
        <v>42</v>
      </c>
      <c r="AW28" s="168">
        <f>COUNTIF( AV$7:AV28, AV28 )</f>
        <v>1</v>
      </c>
      <c r="AX28" s="208">
        <f t="shared" si="22"/>
        <v>42.1</v>
      </c>
      <c r="AY28" s="168">
        <f t="shared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5"/>
        <v>38</v>
      </c>
      <c r="AW29" s="168">
        <f>COUNTIF( AV$7:AV29, AV29 )</f>
        <v>2</v>
      </c>
      <c r="AX29" s="208">
        <f t="shared" si="22"/>
        <v>38.200000000000003</v>
      </c>
      <c r="AY29" s="168">
        <f t="shared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si="5"/>
        <v>14</v>
      </c>
      <c r="AW32" s="168">
        <f>COUNTIF( AV$7:AV32, AV32 )</f>
        <v>10</v>
      </c>
      <c r="AX32" s="208">
        <f t="shared" si="22"/>
        <v>15</v>
      </c>
      <c r="AY32" s="168">
        <f t="shared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si="5"/>
        <v>2</v>
      </c>
      <c r="AW33" s="168">
        <f>COUNTIF( AV$7:AV33, AV33 )</f>
        <v>7</v>
      </c>
      <c r="AX33" s="208">
        <f t="shared" si="22"/>
        <v>2.7</v>
      </c>
      <c r="AY33" s="168">
        <f t="shared" si="6"/>
        <v>8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si="5"/>
        <v>14</v>
      </c>
      <c r="AW34" s="168">
        <f>COUNTIF( AV$7:AV34, AV34 )</f>
        <v>11</v>
      </c>
      <c r="AX34" s="208">
        <f t="shared" si="22"/>
        <v>15.1</v>
      </c>
      <c r="AY34" s="168">
        <f t="shared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si="5"/>
        <v>14</v>
      </c>
      <c r="AW36" s="168">
        <f>COUNTIF( AV$7:AV36, AV36 )</f>
        <v>12</v>
      </c>
      <c r="AX36" s="208">
        <f t="shared" si="22"/>
        <v>15.2</v>
      </c>
      <c r="AY36" s="168">
        <f t="shared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144</v>
      </c>
      <c r="AS39" s="207">
        <v>20</v>
      </c>
      <c r="AT39" s="207" t="s">
        <v>287</v>
      </c>
      <c r="AV39" s="168">
        <f t="shared" si="5"/>
        <v>2</v>
      </c>
      <c r="AW39" s="168">
        <f>COUNTIF( AV$7:AV39, AV39 )</f>
        <v>8</v>
      </c>
      <c r="AX39" s="208">
        <f t="shared" si="22"/>
        <v>2.8</v>
      </c>
      <c r="AY39" s="168">
        <f t="shared" si="6"/>
        <v>9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302</v>
      </c>
      <c r="B40" s="224" t="s">
        <v>146</v>
      </c>
      <c r="C40" s="224">
        <v>18</v>
      </c>
      <c r="D40" s="224" t="s">
        <v>303</v>
      </c>
      <c r="E40" s="225" t="str">
        <f t="shared" ca="1" si="9"/>
        <v>R</v>
      </c>
      <c r="F40" s="347"/>
      <c r="G40" s="348">
        <f t="shared" ca="1" si="1"/>
        <v>33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42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304</v>
      </c>
      <c r="B41" s="224" t="s">
        <v>146</v>
      </c>
      <c r="C41" s="224">
        <v>18</v>
      </c>
      <c r="D41" s="224" t="s">
        <v>305</v>
      </c>
      <c r="E41" s="225" t="str">
        <f t="shared" ca="1" si="9"/>
        <v>R</v>
      </c>
      <c r="F41" s="347"/>
      <c r="G41" s="348">
        <f t="shared" ca="1" si="1"/>
        <v>35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43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si="5"/>
        <v>14</v>
      </c>
      <c r="AW41" s="168">
        <f>COUNTIF( AV$7:AV41, AV41 )</f>
        <v>13</v>
      </c>
      <c r="AX41" s="208">
        <f t="shared" si="22"/>
        <v>15.3</v>
      </c>
      <c r="AY41" s="168">
        <f t="shared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308</v>
      </c>
      <c r="B42" s="224" t="s">
        <v>146</v>
      </c>
      <c r="C42" s="224">
        <v>18</v>
      </c>
      <c r="D42" s="224" t="s">
        <v>309</v>
      </c>
      <c r="E42" s="225" t="str">
        <f t="shared" ca="1" si="9"/>
        <v>R</v>
      </c>
      <c r="F42" s="347"/>
      <c r="G42" s="348">
        <f t="shared" ca="1" si="1"/>
        <v>38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44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si="5"/>
        <v>2</v>
      </c>
      <c r="AW42" s="168">
        <f>COUNTIF( AV$7:AV42, AV42 )</f>
        <v>9</v>
      </c>
      <c r="AX42" s="208">
        <f t="shared" si="22"/>
        <v>2.9</v>
      </c>
      <c r="AY42" s="168">
        <f t="shared" si="6"/>
        <v>10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9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41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si="5"/>
        <v>14</v>
      </c>
      <c r="AW43" s="168">
        <f>COUNTIF( AV$7:AV43, AV43 )</f>
        <v>14</v>
      </c>
      <c r="AX43" s="208">
        <f t="shared" si="22"/>
        <v>15.4</v>
      </c>
      <c r="AY43" s="168">
        <f t="shared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284</v>
      </c>
      <c r="B44" s="224" t="s">
        <v>147</v>
      </c>
      <c r="C44" s="224">
        <v>17</v>
      </c>
      <c r="D44" s="224" t="s">
        <v>285</v>
      </c>
      <c r="E44" s="225" t="str">
        <f t="shared" ca="1" si="9"/>
        <v>MR</v>
      </c>
      <c r="F44" s="347"/>
      <c r="G44" s="348">
        <f t="shared" ca="1" si="1"/>
        <v>27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46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si="5"/>
        <v>38</v>
      </c>
      <c r="AW44" s="168">
        <f>COUNTIF( AV$7:AV44, AV44 )</f>
        <v>3</v>
      </c>
      <c r="AX44" s="208">
        <f t="shared" si="22"/>
        <v>38.299999999999997</v>
      </c>
      <c r="AY44" s="168">
        <f t="shared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259</v>
      </c>
      <c r="B45" s="224" t="s">
        <v>147</v>
      </c>
      <c r="C45" s="224">
        <v>17</v>
      </c>
      <c r="D45" s="224" t="s">
        <v>260</v>
      </c>
      <c r="E45" s="225" t="str">
        <f t="shared" ca="1" si="9"/>
        <v>R</v>
      </c>
      <c r="F45" s="347"/>
      <c r="G45" s="348">
        <f t="shared" ca="1" si="1"/>
        <v>53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si="5"/>
        <v>14</v>
      </c>
      <c r="AW45" s="168">
        <f>COUNTIF( AV$7:AV45, AV45 )</f>
        <v>15</v>
      </c>
      <c r="AX45" s="208">
        <f t="shared" si="22"/>
        <v>15.5</v>
      </c>
      <c r="AY45" s="168">
        <f t="shared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8" x14ac:dyDescent="0.25">
      <c r="A46" s="223" t="s">
        <v>310</v>
      </c>
      <c r="B46" s="224" t="s">
        <v>147</v>
      </c>
      <c r="C46" s="224">
        <v>17</v>
      </c>
      <c r="D46" s="224" t="s">
        <v>311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144</v>
      </c>
      <c r="AS46" s="207">
        <v>20</v>
      </c>
      <c r="AT46" s="207" t="s">
        <v>299</v>
      </c>
      <c r="AV46" s="168">
        <f t="shared" si="5"/>
        <v>2</v>
      </c>
      <c r="AW46" s="168">
        <f>COUNTIF( AV$7:AV46, AV46 )</f>
        <v>10</v>
      </c>
      <c r="AX46" s="208">
        <f t="shared" si="22"/>
        <v>3</v>
      </c>
      <c r="AY46" s="168">
        <f t="shared" si="6"/>
        <v>11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8" x14ac:dyDescent="0.25">
      <c r="A47" s="223" t="s">
        <v>264</v>
      </c>
      <c r="B47" s="224" t="s">
        <v>178</v>
      </c>
      <c r="C47" s="224">
        <v>16</v>
      </c>
      <c r="D47" s="224" t="s">
        <v>265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>
        <f t="shared" ca="1" si="3"/>
        <v>1</v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</v>
      </c>
      <c r="AL47" s="169">
        <f t="shared" ca="1" si="21"/>
        <v>15</v>
      </c>
      <c r="AM47" s="169" t="str">
        <f t="shared" ca="1" si="4"/>
        <v>Change</v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si="5"/>
        <v>14</v>
      </c>
      <c r="AW47" s="168">
        <f>COUNTIF( AV$7:AV47, AV47 )</f>
        <v>16</v>
      </c>
      <c r="AX47" s="208">
        <f t="shared" si="22"/>
        <v>15.6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8" x14ac:dyDescent="0.25">
      <c r="A48" s="223" t="s">
        <v>280</v>
      </c>
      <c r="B48" s="224" t="s">
        <v>180</v>
      </c>
      <c r="C48" s="224">
        <v>15</v>
      </c>
      <c r="D48" s="224" t="s">
        <v>281</v>
      </c>
      <c r="E48" s="225" t="str">
        <f t="shared" ca="1" si="9"/>
        <v>R</v>
      </c>
      <c r="F48" s="347"/>
      <c r="G48" s="348">
        <f t="shared" ca="1" si="1"/>
        <v>26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>
        <f t="shared" ca="1" si="19"/>
        <v>1</v>
      </c>
      <c r="AJ48" s="169">
        <f t="shared" ca="1" si="20"/>
        <v>39</v>
      </c>
      <c r="AK48" s="169" t="str">
        <f t="shared" ca="1" si="21"/>
        <v>BBB</v>
      </c>
      <c r="AL48" s="169">
        <f t="shared" ca="1" si="21"/>
        <v>18</v>
      </c>
      <c r="AM48" s="169" t="str">
        <f t="shared" ca="1" si="4"/>
        <v>Change</v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si="5"/>
        <v>2</v>
      </c>
      <c r="AW48" s="168">
        <f>COUNTIF( AV$7:AV48, AV48 )</f>
        <v>11</v>
      </c>
      <c r="AX48" s="208">
        <f t="shared" si="22"/>
        <v>3.1</v>
      </c>
      <c r="AY48" s="168">
        <f t="shared" si="6"/>
        <v>12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8" x14ac:dyDescent="0.2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36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si="5"/>
        <v>2</v>
      </c>
      <c r="AW49" s="168">
        <f>COUNTIF( AV$7:AV49, AV49 )</f>
        <v>12</v>
      </c>
      <c r="AX49" s="208">
        <f t="shared" si="22"/>
        <v>3.2</v>
      </c>
      <c r="AY49" s="168">
        <f t="shared" si="6"/>
        <v>13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18.818181818181817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>SUMPRODUCT( L8:L13, Y8:Y13 ) / L14</f>
        <v>18.84090909090909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-- 2020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Reg_Percent_2019</v>
      </c>
      <c r="G2" s="172" t="s">
        <v>333</v>
      </c>
      <c r="AJ2" s="173" t="str">
        <f>AJ4 &amp; AJ3</f>
        <v>'Credit_2020Q2'!d:d</v>
      </c>
      <c r="AK2" s="173" t="str">
        <f>AK4 &amp; AK3</f>
        <v>'Credit_2020Q2'!b1</v>
      </c>
      <c r="AL2" s="173" t="str">
        <f>AL4 &amp; AL3</f>
        <v>'Credit_2020Q2'!c1</v>
      </c>
      <c r="AQ2" s="169"/>
    </row>
    <row r="3" spans="1:61" ht="18" hidden="1" outlineLevel="1" x14ac:dyDescent="0.2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'Credit_2020Q2'!</v>
      </c>
      <c r="AK4" s="169" t="str">
        <f t="shared" ref="AK4:AL4" si="0">$AQ$5</f>
        <v>'Credit_2020Q2'!</v>
      </c>
      <c r="AL4" s="169" t="str">
        <f t="shared" si="0"/>
        <v>'Credit_2020Q2'!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336</v>
      </c>
    </row>
    <row r="6" spans="1:61" ht="28.5" customHeight="1" x14ac:dyDescent="0.25">
      <c r="A6" s="219" t="s">
        <v>217</v>
      </c>
      <c r="B6" s="220" t="s">
        <v>337</v>
      </c>
      <c r="C6" s="249" t="s">
        <v>219</v>
      </c>
      <c r="D6" s="221"/>
      <c r="E6" s="222">
        <f ca="1">INDIRECT( E3 &amp; G1 )</f>
        <v>43830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10"/>
        <v>9</v>
      </c>
      <c r="M11" s="216">
        <f t="shared" si="11"/>
        <v>0.20454545454545456</v>
      </c>
      <c r="N11" s="234"/>
      <c r="O11" s="215">
        <f t="shared" ca="1" si="12"/>
        <v>8</v>
      </c>
      <c r="P11" s="216">
        <f t="shared" ca="1" si="13"/>
        <v>0.23529411764705882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ht="13.8" x14ac:dyDescent="0.2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ht="13.8" x14ac:dyDescent="0.2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5.8823529411764705E-2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18.886363636363637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18.863636363636363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18.823529411764707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39</v>
      </c>
      <c r="AW16" s="168">
        <f>COUNTIF( AV$7:AV16, AV16 )</f>
        <v>1</v>
      </c>
      <c r="AX16" s="208">
        <f t="shared" si="22"/>
        <v>39.1</v>
      </c>
      <c r="AY16" s="168">
        <f t="shared" si="6"/>
        <v>39</v>
      </c>
      <c r="AZ16" s="169"/>
      <c r="BA16" s="169"/>
      <c r="BC16" s="168">
        <f t="shared" ca="1" si="24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ht="13.8" x14ac:dyDescent="0.25">
      <c r="A20" s="223" t="s">
        <v>230</v>
      </c>
      <c r="B20" s="224" t="s">
        <v>145</v>
      </c>
      <c r="C20" s="224">
        <v>19</v>
      </c>
      <c r="D20" s="224" t="s">
        <v>231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ht="13.8" x14ac:dyDescent="0.25">
      <c r="A21" s="223" t="s">
        <v>238</v>
      </c>
      <c r="B21" s="224" t="s">
        <v>145</v>
      </c>
      <c r="C21" s="224">
        <v>19</v>
      </c>
      <c r="D21" s="224" t="s">
        <v>239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ht="13.8" x14ac:dyDescent="0.25">
      <c r="A22" s="223" t="s">
        <v>250</v>
      </c>
      <c r="B22" s="224" t="s">
        <v>145</v>
      </c>
      <c r="C22" s="224">
        <v>19</v>
      </c>
      <c r="D22" s="224" t="s">
        <v>251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ht="13.8" x14ac:dyDescent="0.25">
      <c r="A23" s="223" t="s">
        <v>254</v>
      </c>
      <c r="B23" s="224" t="s">
        <v>145</v>
      </c>
      <c r="C23" s="224">
        <v>19</v>
      </c>
      <c r="D23" s="224" t="s">
        <v>255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ht="13.8" x14ac:dyDescent="0.2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338</v>
      </c>
      <c r="AR24" s="207" t="s">
        <v>315</v>
      </c>
      <c r="AS24" s="207" t="s">
        <v>315</v>
      </c>
      <c r="AT24" s="207"/>
      <c r="AV24" s="168">
        <f t="shared" si="5"/>
        <v>99</v>
      </c>
      <c r="AW24" s="168">
        <f>COUNTIF( AV$7:AV24, AV24 )</f>
        <v>1</v>
      </c>
      <c r="AX24" s="208">
        <f t="shared" si="22"/>
        <v>99.1</v>
      </c>
      <c r="AY24" s="168">
        <f t="shared" si="6"/>
        <v>44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ht="13.8" x14ac:dyDescent="0.25">
      <c r="A25" s="223" t="s">
        <v>263</v>
      </c>
      <c r="B25" s="224" t="s">
        <v>145</v>
      </c>
      <c r="C25" s="224">
        <v>19</v>
      </c>
      <c r="D25" s="224" t="s">
        <v>199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ht="13.8" x14ac:dyDescent="0.2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ht="13.8" x14ac:dyDescent="0.2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4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4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5"/>
        <v>30</v>
      </c>
      <c r="AW29" s="168">
        <f>COUNTIF( AV$7:AV29, AV29 )</f>
        <v>4</v>
      </c>
      <c r="AX29" s="208">
        <f t="shared" si="22"/>
        <v>30.4</v>
      </c>
      <c r="AY29" s="168">
        <f t="shared" si="6"/>
        <v>33</v>
      </c>
      <c r="AZ29" s="169"/>
      <c r="BA29" s="169"/>
      <c r="BC29" s="168">
        <f t="shared" ca="1" si="24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5"/>
        <v>39</v>
      </c>
      <c r="AW30" s="168">
        <f>COUNTIF( AV$7:AV30, AV30 )</f>
        <v>2</v>
      </c>
      <c r="AX30" s="208">
        <f t="shared" si="22"/>
        <v>39.200000000000003</v>
      </c>
      <c r="AY30" s="168">
        <f t="shared" si="6"/>
        <v>40</v>
      </c>
      <c r="AZ30" s="169"/>
      <c r="BA30" s="169"/>
      <c r="BC30" s="168">
        <f t="shared" ca="1" si="24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5"/>
        <v>30</v>
      </c>
      <c r="AW32" s="168">
        <f>COUNTIF( AV$7:AV32, AV32 )</f>
        <v>6</v>
      </c>
      <c r="AX32" s="208">
        <f t="shared" si="22"/>
        <v>30.6</v>
      </c>
      <c r="AY32" s="168">
        <f t="shared" si="6"/>
        <v>35</v>
      </c>
      <c r="AZ32" s="169"/>
      <c r="BA32" s="169"/>
      <c r="BC32" s="168">
        <f t="shared" ca="1" si="24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4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4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5"/>
        <v>30</v>
      </c>
      <c r="AW36" s="168">
        <f>COUNTIF( AV$7:AV36, AV36 )</f>
        <v>7</v>
      </c>
      <c r="AX36" s="208">
        <f t="shared" si="22"/>
        <v>30.7</v>
      </c>
      <c r="AY36" s="168">
        <f t="shared" si="6"/>
        <v>36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5"/>
        <v>30</v>
      </c>
      <c r="AW38" s="168">
        <f>COUNTIF( AV$7:AV38, AV38 )</f>
        <v>8</v>
      </c>
      <c r="AX38" s="208">
        <f t="shared" si="22"/>
        <v>30.8</v>
      </c>
      <c r="AY38" s="168">
        <f t="shared" si="6"/>
        <v>37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280</v>
      </c>
      <c r="B39" s="224" t="s">
        <v>146</v>
      </c>
      <c r="C39" s="224">
        <v>18</v>
      </c>
      <c r="D39" s="224" t="s">
        <v>281</v>
      </c>
      <c r="E39" s="225" t="str">
        <f t="shared" ca="1" si="9"/>
        <v>R</v>
      </c>
      <c r="F39" s="347"/>
      <c r="G39" s="348">
        <f t="shared" ca="1" si="1"/>
        <v>26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306</v>
      </c>
      <c r="AR39" s="207" t="s">
        <v>182</v>
      </c>
      <c r="AS39" s="207">
        <v>14</v>
      </c>
      <c r="AT39" s="207" t="s">
        <v>307</v>
      </c>
      <c r="AV39" s="168">
        <f t="shared" si="5"/>
        <v>43</v>
      </c>
      <c r="AW39" s="168">
        <f>COUNTIF( AV$7:AV39, AV39 )</f>
        <v>1</v>
      </c>
      <c r="AX39" s="208">
        <f t="shared" si="22"/>
        <v>43.1</v>
      </c>
      <c r="AY39" s="168">
        <f t="shared" si="6"/>
        <v>43</v>
      </c>
      <c r="AZ39" s="169"/>
      <c r="BA39" s="169"/>
      <c r="BC39" s="168">
        <f t="shared" ca="1" si="24"/>
        <v>33</v>
      </c>
      <c r="BD39" s="209">
        <f t="shared" ca="1" si="8"/>
        <v>23</v>
      </c>
      <c r="BF39" s="173" t="str">
        <f t="shared" ca="1" si="23"/>
        <v>FirstEnergy Corp.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FE</v>
      </c>
    </row>
    <row r="40" spans="1:61" ht="13.8" x14ac:dyDescent="0.25">
      <c r="A40" s="223" t="s">
        <v>288</v>
      </c>
      <c r="B40" s="224" t="s">
        <v>146</v>
      </c>
      <c r="C40" s="224">
        <v>18</v>
      </c>
      <c r="D40" s="224" t="s">
        <v>289</v>
      </c>
      <c r="E40" s="225" t="str">
        <f t="shared" ca="1" si="9"/>
        <v>R</v>
      </c>
      <c r="F40" s="347"/>
      <c r="G40" s="348">
        <f t="shared" ca="1" si="1"/>
        <v>28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5"/>
        <v>2</v>
      </c>
      <c r="AW40" s="168">
        <f>COUNTIF( AV$7:AV40, AV40 )</f>
        <v>8</v>
      </c>
      <c r="AX40" s="208">
        <f t="shared" si="22"/>
        <v>2.8</v>
      </c>
      <c r="AY40" s="168">
        <f t="shared" si="6"/>
        <v>9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IDACORP,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IDA</v>
      </c>
    </row>
    <row r="41" spans="1:61" ht="13.8" x14ac:dyDescent="0.25">
      <c r="A41" s="223" t="s">
        <v>292</v>
      </c>
      <c r="B41" s="224" t="s">
        <v>146</v>
      </c>
      <c r="C41" s="224">
        <v>18</v>
      </c>
      <c r="D41" s="224" t="s">
        <v>293</v>
      </c>
      <c r="E41" s="225" t="str">
        <f t="shared" ca="1" si="9"/>
        <v>R</v>
      </c>
      <c r="F41" s="347"/>
      <c r="G41" s="348">
        <f t="shared" ca="1" si="1"/>
        <v>55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308</v>
      </c>
      <c r="AR41" s="207" t="s">
        <v>146</v>
      </c>
      <c r="AS41" s="207">
        <v>18</v>
      </c>
      <c r="AT41" s="207" t="s">
        <v>309</v>
      </c>
      <c r="AV41" s="168">
        <f t="shared" si="5"/>
        <v>30</v>
      </c>
      <c r="AW41" s="168">
        <f>COUNTIF( AV$7:AV41, AV41 )</f>
        <v>9</v>
      </c>
      <c r="AX41" s="208">
        <f t="shared" si="22"/>
        <v>30.9</v>
      </c>
      <c r="AY41" s="168">
        <f t="shared" si="6"/>
        <v>38</v>
      </c>
      <c r="AZ41" s="169"/>
      <c r="BA41" s="169"/>
      <c r="BC41" s="168">
        <f t="shared" ca="1" si="24"/>
        <v>35</v>
      </c>
      <c r="BD41" s="209">
        <f t="shared" ca="1" si="8"/>
        <v>26</v>
      </c>
      <c r="BF41" s="173" t="str">
        <f t="shared" ca="1" si="23"/>
        <v>IPALCO Enterprises, Inc.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**IPALCO</v>
      </c>
    </row>
    <row r="42" spans="1:61" ht="13.8" x14ac:dyDescent="0.25">
      <c r="A42" s="223" t="s">
        <v>302</v>
      </c>
      <c r="B42" s="224" t="s">
        <v>146</v>
      </c>
      <c r="C42" s="224">
        <v>18</v>
      </c>
      <c r="D42" s="224" t="s">
        <v>303</v>
      </c>
      <c r="E42" s="225" t="str">
        <f t="shared" ca="1" si="9"/>
        <v>R</v>
      </c>
      <c r="F42" s="347"/>
      <c r="G42" s="348">
        <f t="shared" ca="1" si="1"/>
        <v>33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5"/>
        <v>14</v>
      </c>
      <c r="AW42" s="168">
        <f>COUNTIF( AV$7:AV42, AV42 )</f>
        <v>13</v>
      </c>
      <c r="AX42" s="208">
        <f t="shared" si="22"/>
        <v>15.3</v>
      </c>
      <c r="AY42" s="168">
        <f t="shared" si="6"/>
        <v>26</v>
      </c>
      <c r="AZ42" s="169"/>
      <c r="BA42" s="169"/>
      <c r="BC42" s="168">
        <f t="shared" ca="1" si="24"/>
        <v>36</v>
      </c>
      <c r="BD42" s="209">
        <f t="shared" ca="1" si="8"/>
        <v>30</v>
      </c>
      <c r="BF42" s="173" t="str">
        <f t="shared" ca="1" si="23"/>
        <v>NorthWestern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NWE</v>
      </c>
    </row>
    <row r="43" spans="1:61" ht="13.8" x14ac:dyDescent="0.25">
      <c r="A43" s="223" t="s">
        <v>304</v>
      </c>
      <c r="B43" s="224" t="s">
        <v>146</v>
      </c>
      <c r="C43" s="224">
        <v>18</v>
      </c>
      <c r="D43" s="224" t="s">
        <v>305</v>
      </c>
      <c r="E43" s="225" t="str">
        <f t="shared" ca="1" si="9"/>
        <v>R</v>
      </c>
      <c r="F43" s="347"/>
      <c r="G43" s="348">
        <f t="shared" ca="1" si="1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5"/>
        <v>2</v>
      </c>
      <c r="AW43" s="168">
        <f>COUNTIF( AV$7:AV43, AV43 )</f>
        <v>9</v>
      </c>
      <c r="AX43" s="208">
        <f t="shared" si="22"/>
        <v>2.9</v>
      </c>
      <c r="AY43" s="168">
        <f t="shared" si="6"/>
        <v>10</v>
      </c>
      <c r="AZ43" s="169"/>
      <c r="BA43" s="169"/>
      <c r="BC43" s="168">
        <f t="shared" ca="1" si="24"/>
        <v>37</v>
      </c>
      <c r="BD43" s="209">
        <f t="shared" ca="1" si="8"/>
        <v>32</v>
      </c>
      <c r="BF43" s="173" t="str">
        <f t="shared" ca="1" si="23"/>
        <v>Otter Tail Corporation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OTTR</v>
      </c>
    </row>
    <row r="44" spans="1:61" ht="13.8" x14ac:dyDescent="0.25">
      <c r="A44" s="223" t="s">
        <v>308</v>
      </c>
      <c r="B44" s="224" t="s">
        <v>146</v>
      </c>
      <c r="C44" s="224">
        <v>18</v>
      </c>
      <c r="D44" s="224" t="s">
        <v>309</v>
      </c>
      <c r="E44" s="225" t="str">
        <f t="shared" ca="1" si="9"/>
        <v>R</v>
      </c>
      <c r="F44" s="347"/>
      <c r="G44" s="348">
        <f t="shared" ca="1" si="1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5"/>
        <v>14</v>
      </c>
      <c r="AW44" s="168">
        <f>COUNTIF( AV$7:AV44, AV44 )</f>
        <v>14</v>
      </c>
      <c r="AX44" s="208">
        <f t="shared" si="22"/>
        <v>15.4</v>
      </c>
      <c r="AY44" s="168">
        <f t="shared" si="6"/>
        <v>27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3"/>
        <v>PNM Resources, Inc.</v>
      </c>
      <c r="BG44" s="173" t="str">
        <f t="shared" ca="1" si="23"/>
        <v>BBB</v>
      </c>
      <c r="BH44" s="173">
        <f t="shared" ca="1" si="23"/>
        <v>18</v>
      </c>
      <c r="BI44" s="173" t="str">
        <f t="shared" ca="1" si="23"/>
        <v>PNM</v>
      </c>
    </row>
    <row r="45" spans="1:61" ht="13.8" x14ac:dyDescent="0.25">
      <c r="A45" s="223" t="s">
        <v>259</v>
      </c>
      <c r="B45" s="224" t="s">
        <v>147</v>
      </c>
      <c r="C45" s="224">
        <v>17</v>
      </c>
      <c r="D45" s="224" t="s">
        <v>260</v>
      </c>
      <c r="E45" s="225" t="str">
        <f t="shared" ca="1" si="9"/>
        <v>R</v>
      </c>
      <c r="F45" s="347"/>
      <c r="G45" s="348">
        <f t="shared" ca="1" si="1"/>
        <v>53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46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5"/>
        <v>39</v>
      </c>
      <c r="AW45" s="168">
        <f>COUNTIF( AV$7:AV45, AV45 )</f>
        <v>3</v>
      </c>
      <c r="AX45" s="208">
        <f t="shared" si="22"/>
        <v>39.299999999999997</v>
      </c>
      <c r="AY45" s="168">
        <f t="shared" si="6"/>
        <v>41</v>
      </c>
      <c r="AZ45" s="169"/>
      <c r="BA45" s="169"/>
      <c r="BC45" s="168">
        <f t="shared" ca="1" si="24"/>
        <v>39</v>
      </c>
      <c r="BD45" s="209">
        <f t="shared" ca="1" si="8"/>
        <v>10</v>
      </c>
      <c r="BF45" s="173" t="str">
        <f t="shared" ca="1" si="23"/>
        <v>Cleco Corporation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**CNL</v>
      </c>
    </row>
    <row r="46" spans="1:61" ht="13.8" x14ac:dyDescent="0.2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5"/>
        <v>14</v>
      </c>
      <c r="AW46" s="168">
        <f>COUNTIF( AV$7:AV46, AV46 )</f>
        <v>15</v>
      </c>
      <c r="AX46" s="208">
        <f t="shared" si="22"/>
        <v>15.5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24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8" x14ac:dyDescent="0.2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5"/>
        <v>2</v>
      </c>
      <c r="AW47" s="168">
        <f>COUNTIF( AV$7:AV47, AV47 )</f>
        <v>10</v>
      </c>
      <c r="AX47" s="208">
        <f t="shared" si="22"/>
        <v>3</v>
      </c>
      <c r="AY47" s="168">
        <f t="shared" si="6"/>
        <v>11</v>
      </c>
      <c r="AZ47" s="169"/>
      <c r="BA47" s="169"/>
      <c r="BC47" s="168">
        <f t="shared" ca="1" si="24"/>
        <v>41</v>
      </c>
      <c r="BD47" s="209">
        <f t="shared" ca="1" si="8"/>
        <v>39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8" x14ac:dyDescent="0.25">
      <c r="A48" s="223" t="s">
        <v>264</v>
      </c>
      <c r="B48" s="224" t="s">
        <v>180</v>
      </c>
      <c r="C48" s="224">
        <v>15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49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5"/>
        <v>14</v>
      </c>
      <c r="AW48" s="168">
        <f>COUNTIF( AV$7:AV48, AV48 )</f>
        <v>16</v>
      </c>
      <c r="AX48" s="208">
        <f t="shared" si="22"/>
        <v>15.6</v>
      </c>
      <c r="AY48" s="168">
        <f t="shared" si="6"/>
        <v>29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**DPL</v>
      </c>
    </row>
    <row r="49" spans="1:61" ht="13.8" x14ac:dyDescent="0.2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36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50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5"/>
        <v>2</v>
      </c>
      <c r="AW49" s="168">
        <f>COUNTIF( AV$7:AV49, AV49 )</f>
        <v>11</v>
      </c>
      <c r="AX49" s="208">
        <f t="shared" si="22"/>
        <v>3.1</v>
      </c>
      <c r="AY49" s="168">
        <f t="shared" si="6"/>
        <v>12</v>
      </c>
      <c r="AZ49" s="169"/>
      <c r="BA49" s="169"/>
      <c r="BC49" s="168">
        <f t="shared" ca="1" si="24"/>
        <v>43</v>
      </c>
      <c r="BD49" s="209">
        <f t="shared" ca="1" si="8"/>
        <v>33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5"/>
        <v>2</v>
      </c>
      <c r="AW50" s="168">
        <f>COUNTIF( AV$7:AV50, AV50 )</f>
        <v>12</v>
      </c>
      <c r="AX50" s="208">
        <f t="shared" si="22"/>
        <v>3.2</v>
      </c>
      <c r="AY50" s="168">
        <f t="shared" si="6"/>
        <v>13</v>
      </c>
      <c r="AZ50" s="169"/>
      <c r="BA50" s="169"/>
      <c r="BC50" s="168">
        <f t="shared" ca="1" si="24"/>
        <v>44</v>
      </c>
      <c r="BD50" s="209">
        <f t="shared" ca="1" si="8"/>
        <v>18</v>
      </c>
      <c r="BF50" s="173" t="str">
        <f t="shared" ca="1" si="23"/>
        <v>El Paso Electric Company</v>
      </c>
      <c r="BG50" s="173" t="str">
        <f t="shared" ca="1" si="23"/>
        <v/>
      </c>
      <c r="BH50" s="173" t="str">
        <f t="shared" ca="1" si="23"/>
        <v/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18.863636363636363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>SUMPRODUCT( L8:L13, Y8:Y13 ) / L14</f>
        <v>18.886363636363637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-- 2020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Reg_Percent_2019</v>
      </c>
      <c r="G2" s="172" t="s">
        <v>333</v>
      </c>
      <c r="AJ2" s="173" t="str">
        <f>AJ4 &amp; AJ3</f>
        <v>'Credit_2020Q1'!d:d</v>
      </c>
      <c r="AK2" s="173" t="str">
        <f>AK4 &amp; AK3</f>
        <v>'Credit_2020Q1'!b1</v>
      </c>
      <c r="AL2" s="173" t="str">
        <f>AL4 &amp; AL3</f>
        <v>'Credit_2020Q1'!c1</v>
      </c>
      <c r="AQ2" s="169"/>
    </row>
    <row r="3" spans="1:61" ht="18" hidden="1" outlineLevel="1" x14ac:dyDescent="0.2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'Credit_2020Q1'!</v>
      </c>
      <c r="AK4" s="169" t="str">
        <f t="shared" ref="AK4:AL4" si="0">$AQ$5</f>
        <v>'Credit_2020Q1'!</v>
      </c>
      <c r="AL4" s="169" t="str">
        <f t="shared" si="0"/>
        <v>'Credit_2020Q1'!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339</v>
      </c>
    </row>
    <row r="6" spans="1:61" ht="28.5" customHeight="1" x14ac:dyDescent="0.25">
      <c r="A6" s="219" t="s">
        <v>217</v>
      </c>
      <c r="B6" s="220" t="s">
        <v>340</v>
      </c>
      <c r="C6" s="249" t="s">
        <v>219</v>
      </c>
      <c r="D6" s="221"/>
      <c r="E6" s="222">
        <f ca="1">INDIRECT( E3 &amp; G1 )</f>
        <v>43830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38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38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38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4.4444444444444446E-2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F50" ca="1" si="23">OFFSET( AQ$6, $BD8, 0 )</f>
        <v>Alliant Energy Corporation</v>
      </c>
      <c r="BG8" s="173" t="str">
        <f t="shared" ref="BG8:BG50" ca="1" si="24">OFFSET( AR$6, $BD8, 0 )</f>
        <v>A-</v>
      </c>
      <c r="BH8" s="173">
        <f t="shared" ref="BH8:BH50" ca="1" si="25">OFFSET( AS$6, $BD8, 0 )</f>
        <v>20</v>
      </c>
      <c r="BI8" s="173" t="str">
        <f t="shared" ref="BI8:BI50" ca="1" si="26">OFFSET( AT$6, $BD8, 0 )</f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0.26666666666666666</v>
      </c>
      <c r="N9" s="234"/>
      <c r="O9" s="215">
        <f t="shared" ca="1" si="12"/>
        <v>11</v>
      </c>
      <c r="P9" s="216">
        <f t="shared" ca="1" si="13"/>
        <v>0.31428571428571428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7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4"/>
        <v>A-</v>
      </c>
      <c r="BH9" s="173">
        <f t="shared" ca="1" si="25"/>
        <v>20</v>
      </c>
      <c r="BI9" s="173" t="str">
        <f t="shared" ca="1" si="26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16</v>
      </c>
      <c r="M10" s="216">
        <f t="shared" si="11"/>
        <v>0.35555555555555557</v>
      </c>
      <c r="N10" s="234"/>
      <c r="O10" s="215">
        <f t="shared" ca="1" si="12"/>
        <v>10</v>
      </c>
      <c r="P10" s="216">
        <f t="shared" ca="1" si="13"/>
        <v>0.2857142857142857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7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4"/>
        <v>A-</v>
      </c>
      <c r="BH10" s="173">
        <f t="shared" ca="1" si="25"/>
        <v>20</v>
      </c>
      <c r="BI10" s="173" t="str">
        <f t="shared" ca="1" si="26"/>
        <v>ED</v>
      </c>
    </row>
    <row r="11" spans="1:61" ht="13.8" x14ac:dyDescent="0.2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10"/>
        <v>10</v>
      </c>
      <c r="M11" s="216">
        <f t="shared" si="11"/>
        <v>0.22222222222222221</v>
      </c>
      <c r="N11" s="234"/>
      <c r="O11" s="215">
        <f t="shared" ca="1" si="12"/>
        <v>9</v>
      </c>
      <c r="P11" s="216">
        <f t="shared" ca="1" si="13"/>
        <v>0.25714285714285712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7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4"/>
        <v>A-</v>
      </c>
      <c r="BH11" s="173">
        <f t="shared" ca="1" si="25"/>
        <v>20</v>
      </c>
      <c r="BI11" s="173" t="str">
        <f t="shared" ca="1" si="26"/>
        <v>DUK</v>
      </c>
    </row>
    <row r="12" spans="1:61" ht="13.8" x14ac:dyDescent="0.2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10"/>
        <v>3</v>
      </c>
      <c r="M12" s="216">
        <f t="shared" si="11"/>
        <v>6.6666666666666666E-2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7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4"/>
        <v>A-</v>
      </c>
      <c r="BH12" s="173">
        <f t="shared" ca="1" si="25"/>
        <v>20</v>
      </c>
      <c r="BI12" s="173" t="str">
        <f t="shared" ca="1" si="26"/>
        <v>EVRG</v>
      </c>
    </row>
    <row r="13" spans="1:61" ht="13.8" x14ac:dyDescent="0.2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10"/>
        <v>2</v>
      </c>
      <c r="M13" s="218">
        <f t="shared" si="11"/>
        <v>4.4444444444444446E-2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7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4"/>
        <v>A-</v>
      </c>
      <c r="BH13" s="173">
        <f t="shared" ca="1" si="25"/>
        <v>20</v>
      </c>
      <c r="BI13" s="173" t="str">
        <f t="shared" ca="1" si="26"/>
        <v>ES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18.866666666666667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7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4"/>
        <v>A-</v>
      </c>
      <c r="BH14" s="173">
        <f t="shared" ca="1" si="25"/>
        <v>20</v>
      </c>
      <c r="BI14" s="173" t="str">
        <f t="shared" ca="1" si="26"/>
        <v>NEE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7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4"/>
        <v>A-</v>
      </c>
      <c r="BH15" s="173">
        <f t="shared" ca="1" si="25"/>
        <v>20</v>
      </c>
      <c r="BI15" s="173" t="str">
        <f t="shared" ca="1" si="26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18.844444444444445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5"/>
        <v>40</v>
      </c>
      <c r="AW16" s="168">
        <f>COUNTIF( AV$7:AV16, AV16 )</f>
        <v>1</v>
      </c>
      <c r="AX16" s="208">
        <f t="shared" si="22"/>
        <v>40.1</v>
      </c>
      <c r="AY16" s="168">
        <f t="shared" si="6"/>
        <v>40</v>
      </c>
      <c r="AZ16" s="169"/>
      <c r="BA16" s="169"/>
      <c r="BC16" s="168">
        <f t="shared" ca="1" si="27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4"/>
        <v>A-</v>
      </c>
      <c r="BH16" s="173">
        <f t="shared" ca="1" si="25"/>
        <v>20</v>
      </c>
      <c r="BI16" s="173" t="str">
        <f t="shared" ca="1" si="26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7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4"/>
        <v>A-</v>
      </c>
      <c r="BH17" s="173">
        <f t="shared" ca="1" si="25"/>
        <v>20</v>
      </c>
      <c r="BI17" s="173" t="str">
        <f t="shared" ca="1" si="26"/>
        <v>SO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7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4"/>
        <v>A-</v>
      </c>
      <c r="BH18" s="173">
        <f t="shared" ca="1" si="25"/>
        <v>20</v>
      </c>
      <c r="BI18" s="173" t="str">
        <f t="shared" ca="1" si="26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7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4"/>
        <v>A-</v>
      </c>
      <c r="BH19" s="173">
        <f t="shared" ca="1" si="25"/>
        <v>20</v>
      </c>
      <c r="BI19" s="173" t="str">
        <f t="shared" ca="1" si="26"/>
        <v>XEL</v>
      </c>
    </row>
    <row r="20" spans="1:61" ht="13.8" x14ac:dyDescent="0.25">
      <c r="A20" s="223" t="s">
        <v>230</v>
      </c>
      <c r="B20" s="224" t="s">
        <v>145</v>
      </c>
      <c r="C20" s="224">
        <v>19</v>
      </c>
      <c r="D20" s="224" t="s">
        <v>231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5"/>
        <v>43</v>
      </c>
      <c r="AW20" s="168">
        <f>COUNTIF( AV$7:AV20, AV20 )</f>
        <v>1</v>
      </c>
      <c r="AX20" s="208">
        <f t="shared" si="22"/>
        <v>43.1</v>
      </c>
      <c r="AY20" s="168">
        <f t="shared" si="6"/>
        <v>43</v>
      </c>
      <c r="AZ20" s="169"/>
      <c r="BA20" s="169"/>
      <c r="BC20" s="168">
        <f t="shared" ca="1" si="27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4"/>
        <v>BBB+</v>
      </c>
      <c r="BH20" s="173">
        <f t="shared" ca="1" si="25"/>
        <v>19</v>
      </c>
      <c r="BI20" s="173" t="str">
        <f t="shared" ca="1" si="26"/>
        <v>AEE</v>
      </c>
    </row>
    <row r="21" spans="1:61" ht="13.8" x14ac:dyDescent="0.25">
      <c r="A21" s="223" t="s">
        <v>238</v>
      </c>
      <c r="B21" s="224" t="s">
        <v>145</v>
      </c>
      <c r="C21" s="224">
        <v>19</v>
      </c>
      <c r="D21" s="224" t="s">
        <v>239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7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4"/>
        <v>BBB+</v>
      </c>
      <c r="BH21" s="173">
        <f t="shared" ca="1" si="25"/>
        <v>19</v>
      </c>
      <c r="BI21" s="173" t="str">
        <f t="shared" ca="1" si="26"/>
        <v>AGR</v>
      </c>
    </row>
    <row r="22" spans="1:61" ht="13.8" x14ac:dyDescent="0.25">
      <c r="A22" s="223" t="s">
        <v>250</v>
      </c>
      <c r="B22" s="224" t="s">
        <v>145</v>
      </c>
      <c r="C22" s="224">
        <v>19</v>
      </c>
      <c r="D22" s="224" t="s">
        <v>251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7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4"/>
        <v>BBB+</v>
      </c>
      <c r="BH22" s="173">
        <f t="shared" ca="1" si="25"/>
        <v>19</v>
      </c>
      <c r="BI22" s="173" t="str">
        <f t="shared" ca="1" si="26"/>
        <v>BKH</v>
      </c>
    </row>
    <row r="23" spans="1:61" ht="13.8" x14ac:dyDescent="0.25">
      <c r="A23" s="223" t="s">
        <v>254</v>
      </c>
      <c r="B23" s="224" t="s">
        <v>145</v>
      </c>
      <c r="C23" s="224">
        <v>19</v>
      </c>
      <c r="D23" s="224" t="s">
        <v>255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7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4"/>
        <v>BBB+</v>
      </c>
      <c r="BH23" s="173">
        <f t="shared" ca="1" si="25"/>
        <v>19</v>
      </c>
      <c r="BI23" s="173" t="str">
        <f t="shared" ca="1" si="26"/>
        <v>CNP</v>
      </c>
    </row>
    <row r="24" spans="1:61" ht="13.8" x14ac:dyDescent="0.2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5"/>
        <v>30</v>
      </c>
      <c r="AW24" s="168">
        <f>COUNTIF( AV$7:AV24, AV24 )</f>
        <v>4</v>
      </c>
      <c r="AX24" s="208">
        <f t="shared" si="22"/>
        <v>30.4</v>
      </c>
      <c r="AY24" s="168">
        <f t="shared" si="6"/>
        <v>33</v>
      </c>
      <c r="AZ24" s="169"/>
      <c r="BA24" s="169"/>
      <c r="BC24" s="168">
        <f t="shared" ca="1" si="27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4"/>
        <v>BBB+</v>
      </c>
      <c r="BH24" s="173">
        <f t="shared" ca="1" si="25"/>
        <v>19</v>
      </c>
      <c r="BI24" s="173" t="str">
        <f t="shared" ca="1" si="26"/>
        <v>CMS</v>
      </c>
    </row>
    <row r="25" spans="1:61" ht="13.8" x14ac:dyDescent="0.25">
      <c r="A25" s="223" t="s">
        <v>263</v>
      </c>
      <c r="B25" s="224" t="s">
        <v>145</v>
      </c>
      <c r="C25" s="224">
        <v>19</v>
      </c>
      <c r="D25" s="224" t="s">
        <v>199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7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4"/>
        <v>BBB+</v>
      </c>
      <c r="BH25" s="173">
        <f t="shared" ca="1" si="25"/>
        <v>19</v>
      </c>
      <c r="BI25" s="173" t="str">
        <f t="shared" ca="1" si="26"/>
        <v>D</v>
      </c>
    </row>
    <row r="26" spans="1:61" ht="13.8" x14ac:dyDescent="0.2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27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7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4"/>
        <v>BBB+</v>
      </c>
      <c r="BH26" s="173">
        <f t="shared" ca="1" si="25"/>
        <v>19</v>
      </c>
      <c r="BI26" s="173" t="str">
        <f t="shared" ca="1" si="26"/>
        <v>DTE</v>
      </c>
    </row>
    <row r="27" spans="1:61" ht="13.8" x14ac:dyDescent="0.2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28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7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4"/>
        <v>BBB+</v>
      </c>
      <c r="BH27" s="173">
        <f t="shared" ca="1" si="25"/>
        <v>19</v>
      </c>
      <c r="BI27" s="173" t="str">
        <f t="shared" ca="1" si="26"/>
        <v>ETR</v>
      </c>
    </row>
    <row r="28" spans="1:61" ht="13.8" x14ac:dyDescent="0.2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29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7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4"/>
        <v>BBB+</v>
      </c>
      <c r="BH28" s="173">
        <f t="shared" ca="1" si="25"/>
        <v>19</v>
      </c>
      <c r="BI28" s="173" t="str">
        <f t="shared" ca="1" si="26"/>
        <v>EXC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30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5"/>
        <v>30</v>
      </c>
      <c r="AW29" s="168">
        <f>COUNTIF( AV$7:AV29, AV29 )</f>
        <v>5</v>
      </c>
      <c r="AX29" s="208">
        <f t="shared" si="22"/>
        <v>30.5</v>
      </c>
      <c r="AY29" s="168">
        <f t="shared" si="6"/>
        <v>34</v>
      </c>
      <c r="AZ29" s="169"/>
      <c r="BA29" s="169"/>
      <c r="BC29" s="168">
        <f t="shared" ca="1" si="27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4"/>
        <v>BBB+</v>
      </c>
      <c r="BH29" s="173">
        <f t="shared" ca="1" si="25"/>
        <v>19</v>
      </c>
      <c r="BI29" s="173" t="str">
        <f t="shared" ca="1" si="26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31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5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6"/>
        <v>41</v>
      </c>
      <c r="AZ30" s="169"/>
      <c r="BA30" s="169"/>
      <c r="BC30" s="168">
        <f t="shared" ca="1" si="27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4"/>
        <v>BBB+</v>
      </c>
      <c r="BH30" s="173">
        <f t="shared" ca="1" si="25"/>
        <v>19</v>
      </c>
      <c r="BI30" s="173" t="str">
        <f t="shared" ca="1" si="26"/>
        <v>NI</v>
      </c>
    </row>
    <row r="31" spans="1:61" ht="13.8" x14ac:dyDescent="0.2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5"/>
        <v>30</v>
      </c>
      <c r="AW31" s="168">
        <f>COUNTIF( AV$7:AV31, AV31 )</f>
        <v>6</v>
      </c>
      <c r="AX31" s="208">
        <f t="shared" si="22"/>
        <v>30.6</v>
      </c>
      <c r="AY31" s="168">
        <f t="shared" si="6"/>
        <v>35</v>
      </c>
      <c r="AZ31" s="169"/>
      <c r="BA31" s="169"/>
      <c r="BC31" s="168">
        <f t="shared" ca="1" si="27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4"/>
        <v>BBB+</v>
      </c>
      <c r="BH31" s="173">
        <f t="shared" ca="1" si="25"/>
        <v>19</v>
      </c>
      <c r="BI31" s="173" t="str">
        <f t="shared" ca="1" si="26"/>
        <v>OGE</v>
      </c>
    </row>
    <row r="32" spans="1:61" ht="13.8" x14ac:dyDescent="0.2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34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5"/>
        <v>30</v>
      </c>
      <c r="AW32" s="168">
        <f>COUNTIF( AV$7:AV32, AV32 )</f>
        <v>7</v>
      </c>
      <c r="AX32" s="208">
        <f t="shared" si="22"/>
        <v>30.7</v>
      </c>
      <c r="AY32" s="168">
        <f t="shared" si="6"/>
        <v>36</v>
      </c>
      <c r="AZ32" s="169"/>
      <c r="BA32" s="169"/>
      <c r="BC32" s="168">
        <f t="shared" ca="1" si="27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4"/>
        <v>BBB+</v>
      </c>
      <c r="BH32" s="173">
        <f t="shared" ca="1" si="25"/>
        <v>19</v>
      </c>
      <c r="BI32" s="173" t="str">
        <f t="shared" ca="1" si="26"/>
        <v>POR</v>
      </c>
    </row>
    <row r="33" spans="1:61" ht="13.8" x14ac:dyDescent="0.2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35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7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4"/>
        <v>BBB+</v>
      </c>
      <c r="BH33" s="173">
        <f t="shared" ca="1" si="25"/>
        <v>19</v>
      </c>
      <c r="BI33" s="173" t="str">
        <f t="shared" ca="1" si="26"/>
        <v>PEG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36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7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4"/>
        <v>BBB+</v>
      </c>
      <c r="BH34" s="173">
        <f t="shared" ca="1" si="25"/>
        <v>19</v>
      </c>
      <c r="BI34" s="173" t="str">
        <f t="shared" ca="1" si="26"/>
        <v>SRE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37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7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4"/>
        <v>BBB+</v>
      </c>
      <c r="BH35" s="173">
        <f t="shared" ca="1" si="25"/>
        <v>19</v>
      </c>
      <c r="BI35" s="173" t="str">
        <f t="shared" ca="1" si="26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>
        <f t="shared" ca="1" si="19"/>
        <v>1</v>
      </c>
      <c r="AJ36" s="169">
        <f t="shared" ca="1" si="20"/>
        <v>20</v>
      </c>
      <c r="AK36" s="169" t="str">
        <f t="shared" ca="1" si="21"/>
        <v>BBB+</v>
      </c>
      <c r="AL36" s="169">
        <f t="shared" ca="1" si="21"/>
        <v>19</v>
      </c>
      <c r="AM36" s="169" t="str">
        <f t="shared" ca="1" si="4"/>
        <v>Change</v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5"/>
        <v>30</v>
      </c>
      <c r="AW36" s="168">
        <f>COUNTIF( AV$7:AV36, AV36 )</f>
        <v>8</v>
      </c>
      <c r="AX36" s="208">
        <f t="shared" si="22"/>
        <v>30.8</v>
      </c>
      <c r="AY36" s="168">
        <f t="shared" si="6"/>
        <v>37</v>
      </c>
      <c r="AZ36" s="169"/>
      <c r="BA36" s="169"/>
      <c r="BC36" s="168">
        <f t="shared" ca="1" si="27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4"/>
        <v>BBB</v>
      </c>
      <c r="BH36" s="173">
        <f t="shared" ca="1" si="25"/>
        <v>18</v>
      </c>
      <c r="BI36" s="173" t="str">
        <f t="shared" ca="1" si="26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38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7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4"/>
        <v>BBB</v>
      </c>
      <c r="BH37" s="173">
        <f t="shared" ca="1" si="25"/>
        <v>18</v>
      </c>
      <c r="BI37" s="173" t="str">
        <f t="shared" ca="1" si="26"/>
        <v>AVA</v>
      </c>
    </row>
    <row r="38" spans="1:61" ht="13.8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39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5"/>
        <v>30</v>
      </c>
      <c r="AW38" s="168">
        <f>COUNTIF( AV$7:AV38, AV38 )</f>
        <v>9</v>
      </c>
      <c r="AX38" s="208">
        <f t="shared" si="22"/>
        <v>30.9</v>
      </c>
      <c r="AY38" s="168">
        <f t="shared" si="6"/>
        <v>38</v>
      </c>
      <c r="AZ38" s="169"/>
      <c r="BA38" s="169"/>
      <c r="BC38" s="168">
        <f t="shared" ca="1" si="27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4"/>
        <v>BBB</v>
      </c>
      <c r="BH38" s="173">
        <f t="shared" ca="1" si="25"/>
        <v>18</v>
      </c>
      <c r="BI38" s="173" t="str">
        <f t="shared" ca="1" si="26"/>
        <v>EIX</v>
      </c>
    </row>
    <row r="39" spans="1:61" ht="13.8" x14ac:dyDescent="0.25">
      <c r="A39" s="223" t="s">
        <v>338</v>
      </c>
      <c r="B39" s="224" t="s">
        <v>146</v>
      </c>
      <c r="C39" s="224">
        <v>18</v>
      </c>
      <c r="D39" s="224" t="s">
        <v>341</v>
      </c>
      <c r="E39" s="225" t="str">
        <f t="shared" ca="1" si="9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306</v>
      </c>
      <c r="AR39" s="207" t="s">
        <v>182</v>
      </c>
      <c r="AS39" s="207">
        <v>14</v>
      </c>
      <c r="AT39" s="207" t="s">
        <v>307</v>
      </c>
      <c r="AV39" s="168">
        <f t="shared" ref="AV39:AV63" si="28">IF( LEN( AS39 ) = 0, 99, RANK( AS39, $AS$7:$AS$62 ) )</f>
        <v>44</v>
      </c>
      <c r="AW39" s="168">
        <f>COUNTIF( AV$7:AV39, AV39 )</f>
        <v>1</v>
      </c>
      <c r="AX39" s="208">
        <f t="shared" si="22"/>
        <v>44.1</v>
      </c>
      <c r="AY39" s="168">
        <f t="shared" ref="AY39:AY63" si="29">RANK( AX39, $AX$7:$AX$63, 1 )</f>
        <v>44</v>
      </c>
      <c r="AZ39" s="169"/>
      <c r="BA39" s="169"/>
      <c r="BC39" s="168">
        <f t="shared" ca="1" si="27"/>
        <v>33</v>
      </c>
      <c r="BD39" s="209">
        <f t="shared" ref="BD39:BD63" ca="1" si="30">MATCH( BC39, $AY$7:$AY$63, 0 )</f>
        <v>18</v>
      </c>
      <c r="BF39" s="173" t="str">
        <f t="shared" ca="1" si="23"/>
        <v>El Paso Electric Company</v>
      </c>
      <c r="BG39" s="173" t="str">
        <f t="shared" ca="1" si="24"/>
        <v>BBB</v>
      </c>
      <c r="BH39" s="173">
        <f t="shared" ca="1" si="25"/>
        <v>18</v>
      </c>
      <c r="BI39" s="173" t="str">
        <f t="shared" ca="1" si="26"/>
        <v>EE</v>
      </c>
    </row>
    <row r="40" spans="1:61" ht="13.8" x14ac:dyDescent="0.25">
      <c r="A40" s="223" t="s">
        <v>280</v>
      </c>
      <c r="B40" s="224" t="s">
        <v>146</v>
      </c>
      <c r="C40" s="224">
        <v>18</v>
      </c>
      <c r="D40" s="224" t="s">
        <v>281</v>
      </c>
      <c r="E40" s="225" t="str">
        <f t="shared" ca="1" si="9"/>
        <v>R</v>
      </c>
      <c r="F40" s="347"/>
      <c r="G40" s="348">
        <f t="shared" ca="1" si="1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8"/>
        <v>2</v>
      </c>
      <c r="AW40" s="168">
        <f>COUNTIF( AV$7:AV40, AV40 )</f>
        <v>8</v>
      </c>
      <c r="AX40" s="208">
        <f t="shared" si="22"/>
        <v>2.8</v>
      </c>
      <c r="AY40" s="168">
        <f t="shared" si="29"/>
        <v>9</v>
      </c>
      <c r="AZ40" s="169"/>
      <c r="BA40" s="169"/>
      <c r="BC40" s="168">
        <f t="shared" ca="1" si="27"/>
        <v>34</v>
      </c>
      <c r="BD40" s="209">
        <f t="shared" ca="1" si="30"/>
        <v>23</v>
      </c>
      <c r="BF40" s="173" t="str">
        <f t="shared" ca="1" si="23"/>
        <v>FirstEnergy Corp.</v>
      </c>
      <c r="BG40" s="173" t="str">
        <f t="shared" ca="1" si="24"/>
        <v>BBB</v>
      </c>
      <c r="BH40" s="173">
        <f t="shared" ca="1" si="25"/>
        <v>18</v>
      </c>
      <c r="BI40" s="173" t="str">
        <f t="shared" ca="1" si="26"/>
        <v>FE</v>
      </c>
    </row>
    <row r="41" spans="1:61" ht="13.8" x14ac:dyDescent="0.25">
      <c r="A41" s="223" t="s">
        <v>288</v>
      </c>
      <c r="B41" s="224" t="s">
        <v>146</v>
      </c>
      <c r="C41" s="224">
        <v>18</v>
      </c>
      <c r="D41" s="224" t="s">
        <v>289</v>
      </c>
      <c r="E41" s="225" t="str">
        <f t="shared" ca="1" si="9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308</v>
      </c>
      <c r="AR41" s="207" t="s">
        <v>146</v>
      </c>
      <c r="AS41" s="207">
        <v>18</v>
      </c>
      <c r="AT41" s="207" t="s">
        <v>309</v>
      </c>
      <c r="AV41" s="168">
        <f t="shared" si="28"/>
        <v>30</v>
      </c>
      <c r="AW41" s="168">
        <f>COUNTIF( AV$7:AV41, AV41 )</f>
        <v>10</v>
      </c>
      <c r="AX41" s="208">
        <f t="shared" si="22"/>
        <v>31</v>
      </c>
      <c r="AY41" s="168">
        <f t="shared" si="29"/>
        <v>39</v>
      </c>
      <c r="AZ41" s="169"/>
      <c r="BA41" s="169"/>
      <c r="BC41" s="168">
        <f t="shared" ca="1" si="27"/>
        <v>35</v>
      </c>
      <c r="BD41" s="209">
        <f t="shared" ca="1" si="30"/>
        <v>25</v>
      </c>
      <c r="BF41" s="173" t="str">
        <f t="shared" ca="1" si="23"/>
        <v>IDACORP, Inc.</v>
      </c>
      <c r="BG41" s="173" t="str">
        <f t="shared" ca="1" si="24"/>
        <v>BBB</v>
      </c>
      <c r="BH41" s="173">
        <f t="shared" ca="1" si="25"/>
        <v>18</v>
      </c>
      <c r="BI41" s="173" t="str">
        <f t="shared" ca="1" si="26"/>
        <v>IDA</v>
      </c>
    </row>
    <row r="42" spans="1:61" ht="13.8" x14ac:dyDescent="0.25">
      <c r="A42" s="223" t="s">
        <v>292</v>
      </c>
      <c r="B42" s="224" t="s">
        <v>146</v>
      </c>
      <c r="C42" s="224">
        <v>18</v>
      </c>
      <c r="D42" s="224" t="s">
        <v>293</v>
      </c>
      <c r="E42" s="225" t="str">
        <f t="shared" ca="1" si="9"/>
        <v>R</v>
      </c>
      <c r="F42" s="347"/>
      <c r="G42" s="348">
        <f t="shared" ca="1" si="1"/>
        <v>55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8"/>
        <v>14</v>
      </c>
      <c r="AW42" s="168">
        <f>COUNTIF( AV$7:AV42, AV42 )</f>
        <v>13</v>
      </c>
      <c r="AX42" s="208">
        <f t="shared" si="22"/>
        <v>15.3</v>
      </c>
      <c r="AY42" s="168">
        <f t="shared" si="29"/>
        <v>26</v>
      </c>
      <c r="AZ42" s="169"/>
      <c r="BA42" s="169"/>
      <c r="BC42" s="168">
        <f t="shared" ca="1" si="27"/>
        <v>36</v>
      </c>
      <c r="BD42" s="209">
        <f t="shared" ca="1" si="30"/>
        <v>26</v>
      </c>
      <c r="BF42" s="173" t="str">
        <f t="shared" ca="1" si="23"/>
        <v>IPALCO Enterprises, Inc.</v>
      </c>
      <c r="BG42" s="173" t="str">
        <f t="shared" ca="1" si="24"/>
        <v>BBB</v>
      </c>
      <c r="BH42" s="173">
        <f t="shared" ca="1" si="25"/>
        <v>18</v>
      </c>
      <c r="BI42" s="173" t="str">
        <f t="shared" ca="1" si="26"/>
        <v>**IPALCO</v>
      </c>
    </row>
    <row r="43" spans="1:61" ht="13.8" x14ac:dyDescent="0.2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9"/>
        <v>R</v>
      </c>
      <c r="F43" s="347"/>
      <c r="G43" s="348">
        <f t="shared" ca="1" si="1"/>
        <v>33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8"/>
        <v>2</v>
      </c>
      <c r="AW43" s="168">
        <f>COUNTIF( AV$7:AV43, AV43 )</f>
        <v>9</v>
      </c>
      <c r="AX43" s="208">
        <f t="shared" si="22"/>
        <v>2.9</v>
      </c>
      <c r="AY43" s="168">
        <f t="shared" si="29"/>
        <v>10</v>
      </c>
      <c r="AZ43" s="169"/>
      <c r="BA43" s="169"/>
      <c r="BC43" s="168">
        <f t="shared" ca="1" si="27"/>
        <v>37</v>
      </c>
      <c r="BD43" s="209">
        <f t="shared" ca="1" si="30"/>
        <v>30</v>
      </c>
      <c r="BF43" s="173" t="str">
        <f t="shared" ca="1" si="23"/>
        <v>NorthWestern Corporation</v>
      </c>
      <c r="BG43" s="173" t="str">
        <f t="shared" ca="1" si="24"/>
        <v>BBB</v>
      </c>
      <c r="BH43" s="173">
        <f t="shared" ca="1" si="25"/>
        <v>18</v>
      </c>
      <c r="BI43" s="173" t="str">
        <f t="shared" ca="1" si="26"/>
        <v>NWE</v>
      </c>
    </row>
    <row r="44" spans="1:61" ht="13.8" x14ac:dyDescent="0.2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9"/>
        <v>R</v>
      </c>
      <c r="F44" s="347"/>
      <c r="G44" s="348">
        <f t="shared" ca="1" si="1"/>
        <v>35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8"/>
        <v>14</v>
      </c>
      <c r="AW44" s="168">
        <f>COUNTIF( AV$7:AV44, AV44 )</f>
        <v>14</v>
      </c>
      <c r="AX44" s="208">
        <f t="shared" si="22"/>
        <v>15.4</v>
      </c>
      <c r="AY44" s="168">
        <f t="shared" si="29"/>
        <v>27</v>
      </c>
      <c r="AZ44" s="169"/>
      <c r="BA44" s="169"/>
      <c r="BC44" s="168">
        <f t="shared" ca="1" si="27"/>
        <v>38</v>
      </c>
      <c r="BD44" s="209">
        <f t="shared" ca="1" si="30"/>
        <v>32</v>
      </c>
      <c r="BF44" s="173" t="str">
        <f t="shared" ca="1" si="23"/>
        <v>Otter Tail Corporation</v>
      </c>
      <c r="BG44" s="173" t="str">
        <f t="shared" ca="1" si="24"/>
        <v>BBB</v>
      </c>
      <c r="BH44" s="173">
        <f t="shared" ca="1" si="25"/>
        <v>18</v>
      </c>
      <c r="BI44" s="173" t="str">
        <f t="shared" ca="1" si="26"/>
        <v>OTTR</v>
      </c>
    </row>
    <row r="45" spans="1:61" ht="13.8" x14ac:dyDescent="0.25">
      <c r="A45" s="223" t="s">
        <v>308</v>
      </c>
      <c r="B45" s="224" t="s">
        <v>146</v>
      </c>
      <c r="C45" s="224">
        <v>18</v>
      </c>
      <c r="D45" s="224" t="s">
        <v>309</v>
      </c>
      <c r="E45" s="225" t="str">
        <f t="shared" ca="1" si="9"/>
        <v>R</v>
      </c>
      <c r="F45" s="347"/>
      <c r="G45" s="348">
        <f t="shared" ca="1" si="1"/>
        <v>38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>
        <f t="shared" ca="1" si="19"/>
        <v>1</v>
      </c>
      <c r="AJ45" s="169">
        <f t="shared" ca="1" si="20"/>
        <v>33</v>
      </c>
      <c r="AK45" s="169" t="str">
        <f t="shared" ca="1" si="21"/>
        <v>BBB+</v>
      </c>
      <c r="AL45" s="169">
        <f t="shared" ca="1" si="21"/>
        <v>19</v>
      </c>
      <c r="AM45" s="169" t="str">
        <f t="shared" ca="1" si="4"/>
        <v>Change</v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8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9"/>
        <v>42</v>
      </c>
      <c r="AZ45" s="169"/>
      <c r="BA45" s="169"/>
      <c r="BC45" s="168">
        <f t="shared" ca="1" si="27"/>
        <v>39</v>
      </c>
      <c r="BD45" s="209">
        <f t="shared" ca="1" si="30"/>
        <v>35</v>
      </c>
      <c r="BF45" s="173" t="str">
        <f t="shared" ca="1" si="23"/>
        <v>PNM Resources, Inc.</v>
      </c>
      <c r="BG45" s="173" t="str">
        <f t="shared" ca="1" si="24"/>
        <v>BBB</v>
      </c>
      <c r="BH45" s="173">
        <f t="shared" ca="1" si="25"/>
        <v>18</v>
      </c>
      <c r="BI45" s="173" t="str">
        <f t="shared" ca="1" si="26"/>
        <v>PNM</v>
      </c>
    </row>
    <row r="46" spans="1:61" ht="13.8" x14ac:dyDescent="0.2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9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8"/>
        <v>14</v>
      </c>
      <c r="AW46" s="168">
        <f>COUNTIF( AV$7:AV46, AV46 )</f>
        <v>15</v>
      </c>
      <c r="AX46" s="208">
        <f t="shared" si="22"/>
        <v>15.5</v>
      </c>
      <c r="AY46" s="168">
        <f t="shared" si="29"/>
        <v>28</v>
      </c>
      <c r="AZ46" s="169"/>
      <c r="BA46" s="169"/>
      <c r="BC46" s="168">
        <f t="shared" ca="1" si="27"/>
        <v>40</v>
      </c>
      <c r="BD46" s="209">
        <f t="shared" ca="1" si="30"/>
        <v>10</v>
      </c>
      <c r="BF46" s="173" t="str">
        <f t="shared" ca="1" si="23"/>
        <v>Cleco Corporation</v>
      </c>
      <c r="BG46" s="173" t="str">
        <f t="shared" ca="1" si="24"/>
        <v>BBB-</v>
      </c>
      <c r="BH46" s="173">
        <f t="shared" ca="1" si="25"/>
        <v>17</v>
      </c>
      <c r="BI46" s="173" t="str">
        <f t="shared" ca="1" si="26"/>
        <v>**CNL</v>
      </c>
    </row>
    <row r="47" spans="1:61" ht="13.8" x14ac:dyDescent="0.25">
      <c r="A47" s="223" t="s">
        <v>284</v>
      </c>
      <c r="B47" s="224" t="s">
        <v>147</v>
      </c>
      <c r="C47" s="224">
        <v>17</v>
      </c>
      <c r="D47" s="224" t="s">
        <v>285</v>
      </c>
      <c r="E47" s="225" t="str">
        <f t="shared" ca="1" si="9"/>
        <v>MR</v>
      </c>
      <c r="F47" s="347"/>
      <c r="G47" s="348">
        <f t="shared" ca="1" si="1"/>
        <v>27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8"/>
        <v>2</v>
      </c>
      <c r="AW47" s="168">
        <f>COUNTIF( AV$7:AV47, AV47 )</f>
        <v>10</v>
      </c>
      <c r="AX47" s="208">
        <f t="shared" si="22"/>
        <v>3</v>
      </c>
      <c r="AY47" s="168">
        <f t="shared" si="29"/>
        <v>11</v>
      </c>
      <c r="AZ47" s="169"/>
      <c r="BA47" s="169"/>
      <c r="BC47" s="168">
        <f t="shared" ca="1" si="27"/>
        <v>41</v>
      </c>
      <c r="BD47" s="209">
        <f t="shared" ca="1" si="30"/>
        <v>24</v>
      </c>
      <c r="BF47" s="173" t="str">
        <f t="shared" ca="1" si="23"/>
        <v>Hawaiian Electric Industries, Inc.</v>
      </c>
      <c r="BG47" s="173" t="str">
        <f t="shared" ca="1" si="24"/>
        <v>BBB-</v>
      </c>
      <c r="BH47" s="173">
        <f t="shared" ca="1" si="25"/>
        <v>17</v>
      </c>
      <c r="BI47" s="173" t="str">
        <f t="shared" ca="1" si="26"/>
        <v>HE</v>
      </c>
    </row>
    <row r="48" spans="1:61" ht="13.8" x14ac:dyDescent="0.25">
      <c r="A48" s="223" t="s">
        <v>310</v>
      </c>
      <c r="B48" s="224" t="s">
        <v>147</v>
      </c>
      <c r="C48" s="224">
        <v>17</v>
      </c>
      <c r="D48" s="224" t="s">
        <v>311</v>
      </c>
      <c r="E48" s="225" t="str">
        <f t="shared" ca="1" si="9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BBB-</v>
      </c>
      <c r="AL48" s="169">
        <f t="shared" ca="1" si="21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8"/>
        <v>14</v>
      </c>
      <c r="AW48" s="168">
        <f>COUNTIF( AV$7:AV48, AV48 )</f>
        <v>16</v>
      </c>
      <c r="AX48" s="208">
        <f t="shared" si="22"/>
        <v>15.6</v>
      </c>
      <c r="AY48" s="168">
        <f t="shared" si="29"/>
        <v>29</v>
      </c>
      <c r="AZ48" s="169"/>
      <c r="BA48" s="169"/>
      <c r="BC48" s="168">
        <f t="shared" ca="1" si="27"/>
        <v>42</v>
      </c>
      <c r="BD48" s="209">
        <f t="shared" ca="1" si="30"/>
        <v>39</v>
      </c>
      <c r="BF48" s="173" t="str">
        <f t="shared" ca="1" si="23"/>
        <v>Puget Energy, Inc.</v>
      </c>
      <c r="BG48" s="173" t="str">
        <f t="shared" ca="1" si="24"/>
        <v>BBB-</v>
      </c>
      <c r="BH48" s="173">
        <f t="shared" ca="1" si="25"/>
        <v>17</v>
      </c>
      <c r="BI48" s="173" t="str">
        <f t="shared" ca="1" si="26"/>
        <v>**PSD</v>
      </c>
    </row>
    <row r="49" spans="1:61" ht="13.8" x14ac:dyDescent="0.25">
      <c r="A49" s="223" t="s">
        <v>264</v>
      </c>
      <c r="B49" s="224" t="s">
        <v>180</v>
      </c>
      <c r="C49" s="224">
        <v>15</v>
      </c>
      <c r="D49" s="224" t="s">
        <v>265</v>
      </c>
      <c r="E49" s="225" t="str">
        <f t="shared" ca="1" si="9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</v>
      </c>
      <c r="AL49" s="169">
        <f t="shared" ca="1" si="21"/>
        <v>15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8"/>
        <v>2</v>
      </c>
      <c r="AW49" s="168">
        <f>COUNTIF( AV$7:AV49, AV49 )</f>
        <v>11</v>
      </c>
      <c r="AX49" s="208">
        <f t="shared" si="22"/>
        <v>3.1</v>
      </c>
      <c r="AY49" s="168">
        <f t="shared" si="29"/>
        <v>12</v>
      </c>
      <c r="AZ49" s="169"/>
      <c r="BA49" s="169"/>
      <c r="BC49" s="168">
        <f t="shared" ca="1" si="27"/>
        <v>43</v>
      </c>
      <c r="BD49" s="209">
        <f t="shared" ca="1" si="30"/>
        <v>14</v>
      </c>
      <c r="BF49" s="173" t="str">
        <f t="shared" ca="1" si="23"/>
        <v>DPL Inc.</v>
      </c>
      <c r="BG49" s="173" t="str">
        <f t="shared" ca="1" si="24"/>
        <v>BB</v>
      </c>
      <c r="BH49" s="173">
        <f t="shared" ca="1" si="25"/>
        <v>15</v>
      </c>
      <c r="BI49" s="173" t="str">
        <f t="shared" ca="1" si="26"/>
        <v>**DPL</v>
      </c>
    </row>
    <row r="50" spans="1:61" ht="13.8" x14ac:dyDescent="0.25">
      <c r="A50" s="223" t="s">
        <v>306</v>
      </c>
      <c r="B50" s="224" t="s">
        <v>182</v>
      </c>
      <c r="C50" s="224">
        <v>14</v>
      </c>
      <c r="D50" s="224" t="s">
        <v>307</v>
      </c>
      <c r="E50" s="225" t="str">
        <f t="shared" ca="1" si="9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9"/>
        <v>1</v>
      </c>
      <c r="AJ50" s="169">
        <f t="shared" ca="1" si="20"/>
        <v>50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>Change</v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8"/>
        <v>2</v>
      </c>
      <c r="AW50" s="168">
        <f>COUNTIF( AV$7:AV50, AV50 )</f>
        <v>12</v>
      </c>
      <c r="AX50" s="208">
        <f t="shared" si="22"/>
        <v>3.2</v>
      </c>
      <c r="AY50" s="168">
        <f t="shared" si="29"/>
        <v>13</v>
      </c>
      <c r="AZ50" s="169"/>
      <c r="BA50" s="169"/>
      <c r="BC50" s="168">
        <f t="shared" ca="1" si="27"/>
        <v>44</v>
      </c>
      <c r="BD50" s="209">
        <f t="shared" ca="1" si="30"/>
        <v>33</v>
      </c>
      <c r="BF50" s="173" t="str">
        <f t="shared" ca="1" si="23"/>
        <v>PG&amp;E Corporation</v>
      </c>
      <c r="BG50" s="173" t="str">
        <f t="shared" ca="1" si="24"/>
        <v>BB-</v>
      </c>
      <c r="BH50" s="173">
        <f t="shared" ca="1" si="25"/>
        <v>14</v>
      </c>
      <c r="BI50" s="173" t="str">
        <f t="shared" ca="1" si="26"/>
        <v>PCG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V51" s="168">
        <f t="shared" si="28"/>
        <v>99</v>
      </c>
      <c r="AW51" s="168">
        <f>COUNTIF( AV$7:AV51, AV51 )</f>
        <v>1</v>
      </c>
      <c r="AX51" s="208">
        <f t="shared" si="22"/>
        <v>99.1</v>
      </c>
      <c r="AY51" s="168">
        <f t="shared" si="29"/>
        <v>45</v>
      </c>
      <c r="AZ51" s="169"/>
      <c r="BA51" s="169"/>
      <c r="BC51" s="168">
        <f t="shared" ca="1" si="27"/>
        <v>45</v>
      </c>
      <c r="BD51" s="209">
        <f t="shared" ca="1" si="30"/>
        <v>45</v>
      </c>
      <c r="BF51" s="173">
        <f t="shared" ref="BF51:BI63" ca="1" si="31">OFFSET( AQ$6, $BD52, 0 )</f>
        <v>0</v>
      </c>
      <c r="BG51" s="173">
        <f t="shared" ca="1" si="31"/>
        <v>0</v>
      </c>
      <c r="BH51" s="173">
        <f t="shared" ca="1" si="31"/>
        <v>0</v>
      </c>
      <c r="BI51" s="173">
        <f t="shared" ca="1" si="31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8"/>
        <v>99</v>
      </c>
      <c r="AW52" s="168">
        <f>COUNTIF( AV$7:AV52, AV52 )</f>
        <v>2</v>
      </c>
      <c r="AX52" s="208">
        <f t="shared" si="22"/>
        <v>99.2</v>
      </c>
      <c r="AY52" s="168">
        <f t="shared" si="29"/>
        <v>46</v>
      </c>
      <c r="AZ52" s="169"/>
      <c r="BA52" s="169"/>
      <c r="BC52" s="168">
        <f t="shared" ca="1" si="27"/>
        <v>46</v>
      </c>
      <c r="BD52" s="209">
        <f t="shared" ca="1" si="30"/>
        <v>46</v>
      </c>
      <c r="BF52" s="173">
        <f t="shared" ca="1" si="31"/>
        <v>0</v>
      </c>
      <c r="BG52" s="173">
        <f t="shared" ca="1" si="31"/>
        <v>0</v>
      </c>
      <c r="BH52" s="173">
        <f t="shared" ca="1" si="31"/>
        <v>0</v>
      </c>
      <c r="BI52" s="173">
        <f t="shared" ca="1" si="31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8"/>
        <v>99</v>
      </c>
      <c r="AW53" s="168">
        <f>COUNTIF( AV$7:AV53, AV53 )</f>
        <v>3</v>
      </c>
      <c r="AX53" s="208">
        <f t="shared" si="22"/>
        <v>99.3</v>
      </c>
      <c r="AY53" s="168">
        <f t="shared" si="29"/>
        <v>47</v>
      </c>
      <c r="AZ53" s="169"/>
      <c r="BA53" s="169"/>
      <c r="BC53" s="168">
        <f t="shared" ca="1" si="27"/>
        <v>47</v>
      </c>
      <c r="BD53" s="209">
        <f t="shared" ca="1" si="30"/>
        <v>47</v>
      </c>
      <c r="BF53" s="173">
        <f t="shared" ca="1" si="31"/>
        <v>0</v>
      </c>
      <c r="BG53" s="173">
        <f t="shared" ca="1" si="31"/>
        <v>0</v>
      </c>
      <c r="BH53" s="173">
        <f t="shared" ca="1" si="31"/>
        <v>0</v>
      </c>
      <c r="BI53" s="173">
        <f t="shared" ca="1" si="31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8"/>
        <v>99</v>
      </c>
      <c r="AW54" s="168">
        <f>COUNTIF( AV$7:AV54, AV54 )</f>
        <v>4</v>
      </c>
      <c r="AX54" s="208">
        <f t="shared" si="22"/>
        <v>99.4</v>
      </c>
      <c r="AY54" s="168">
        <f t="shared" si="29"/>
        <v>48</v>
      </c>
      <c r="AZ54" s="169"/>
      <c r="BA54" s="169"/>
      <c r="BC54" s="168">
        <f t="shared" ca="1" si="27"/>
        <v>48</v>
      </c>
      <c r="BD54" s="209">
        <f t="shared" ca="1" si="30"/>
        <v>48</v>
      </c>
      <c r="BF54" s="173">
        <f t="shared" ca="1" si="31"/>
        <v>0</v>
      </c>
      <c r="BG54" s="173">
        <f t="shared" ca="1" si="31"/>
        <v>0</v>
      </c>
      <c r="BH54" s="173">
        <f t="shared" ca="1" si="31"/>
        <v>0</v>
      </c>
      <c r="BI54" s="173">
        <f t="shared" ca="1" si="31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8"/>
        <v>99</v>
      </c>
      <c r="AW55" s="168">
        <f>COUNTIF( AV$7:AV55, AV55 )</f>
        <v>5</v>
      </c>
      <c r="AX55" s="208">
        <f t="shared" si="22"/>
        <v>99.5</v>
      </c>
      <c r="AY55" s="168">
        <f t="shared" si="29"/>
        <v>49</v>
      </c>
      <c r="AZ55" s="169"/>
      <c r="BA55" s="169"/>
      <c r="BC55" s="168">
        <f t="shared" ca="1" si="27"/>
        <v>49</v>
      </c>
      <c r="BD55" s="209">
        <f t="shared" ca="1" si="30"/>
        <v>49</v>
      </c>
      <c r="BF55" s="173">
        <f t="shared" ca="1" si="31"/>
        <v>0</v>
      </c>
      <c r="BG55" s="173">
        <f t="shared" ca="1" si="31"/>
        <v>0</v>
      </c>
      <c r="BH55" s="173">
        <f t="shared" ca="1" si="31"/>
        <v>0</v>
      </c>
      <c r="BI55" s="173">
        <f t="shared" ca="1" si="31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8"/>
        <v>99</v>
      </c>
      <c r="AW56" s="168">
        <f>COUNTIF( AV$7:AV56, AV56 )</f>
        <v>6</v>
      </c>
      <c r="AX56" s="208">
        <f t="shared" si="22"/>
        <v>99.6</v>
      </c>
      <c r="AY56" s="168">
        <f t="shared" si="29"/>
        <v>50</v>
      </c>
      <c r="AZ56" s="169"/>
      <c r="BA56" s="169"/>
      <c r="BC56" s="168">
        <f t="shared" ca="1" si="27"/>
        <v>50</v>
      </c>
      <c r="BD56" s="209">
        <f t="shared" ca="1" si="30"/>
        <v>50</v>
      </c>
      <c r="BF56" s="173">
        <f t="shared" ca="1" si="31"/>
        <v>0</v>
      </c>
      <c r="BG56" s="173">
        <f t="shared" ca="1" si="31"/>
        <v>0</v>
      </c>
      <c r="BH56" s="173">
        <f t="shared" ca="1" si="31"/>
        <v>0</v>
      </c>
      <c r="BI56" s="173">
        <f t="shared" ca="1" si="31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8"/>
        <v>99</v>
      </c>
      <c r="AW57" s="168">
        <f>COUNTIF( AV$7:AV57, AV57 )</f>
        <v>7</v>
      </c>
      <c r="AX57" s="208">
        <f t="shared" si="22"/>
        <v>99.7</v>
      </c>
      <c r="AY57" s="168">
        <f t="shared" si="29"/>
        <v>51</v>
      </c>
      <c r="AZ57" s="169"/>
      <c r="BA57" s="169"/>
      <c r="BC57" s="168">
        <f t="shared" ca="1" si="27"/>
        <v>51</v>
      </c>
      <c r="BD57" s="209">
        <f t="shared" ca="1" si="30"/>
        <v>51</v>
      </c>
      <c r="BF57" s="173">
        <f t="shared" ca="1" si="31"/>
        <v>0</v>
      </c>
      <c r="BG57" s="173">
        <f t="shared" ca="1" si="31"/>
        <v>0</v>
      </c>
      <c r="BH57" s="173">
        <f t="shared" ca="1" si="31"/>
        <v>0</v>
      </c>
      <c r="BI57" s="173">
        <f t="shared" ca="1" si="31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8"/>
        <v>99</v>
      </c>
      <c r="AW58" s="168">
        <f>COUNTIF( AV$7:AV58, AV58 )</f>
        <v>8</v>
      </c>
      <c r="AX58" s="208">
        <f t="shared" si="22"/>
        <v>99.8</v>
      </c>
      <c r="AY58" s="168">
        <f t="shared" si="29"/>
        <v>52</v>
      </c>
      <c r="AZ58" s="169"/>
      <c r="BA58" s="169"/>
      <c r="BC58" s="168">
        <f t="shared" ca="1" si="27"/>
        <v>52</v>
      </c>
      <c r="BD58" s="209">
        <f t="shared" ca="1" si="30"/>
        <v>52</v>
      </c>
      <c r="BF58" s="173">
        <f t="shared" ca="1" si="31"/>
        <v>0</v>
      </c>
      <c r="BG58" s="173">
        <f t="shared" ca="1" si="31"/>
        <v>0</v>
      </c>
      <c r="BH58" s="173">
        <f t="shared" ca="1" si="31"/>
        <v>0</v>
      </c>
      <c r="BI58" s="173">
        <f t="shared" ca="1" si="31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8"/>
        <v>99</v>
      </c>
      <c r="AW59" s="168">
        <f>COUNTIF( AV$7:AV59, AV59 )</f>
        <v>9</v>
      </c>
      <c r="AX59" s="208">
        <f t="shared" si="22"/>
        <v>99.9</v>
      </c>
      <c r="AY59" s="168">
        <f t="shared" si="29"/>
        <v>53</v>
      </c>
      <c r="AZ59" s="169"/>
      <c r="BA59" s="169"/>
      <c r="BC59" s="168">
        <f t="shared" ca="1" si="27"/>
        <v>53</v>
      </c>
      <c r="BD59" s="209">
        <f t="shared" ca="1" si="30"/>
        <v>53</v>
      </c>
      <c r="BF59" s="173">
        <f t="shared" ca="1" si="31"/>
        <v>0</v>
      </c>
      <c r="BG59" s="173">
        <f t="shared" ca="1" si="31"/>
        <v>0</v>
      </c>
      <c r="BH59" s="173">
        <f t="shared" ca="1" si="31"/>
        <v>0</v>
      </c>
      <c r="BI59" s="173">
        <f t="shared" ca="1" si="31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8"/>
        <v>99</v>
      </c>
      <c r="AW60" s="168">
        <f>COUNTIF( AV$7:AV60, AV60 )</f>
        <v>10</v>
      </c>
      <c r="AX60" s="208">
        <f t="shared" si="22"/>
        <v>100</v>
      </c>
      <c r="AY60" s="168">
        <f t="shared" si="29"/>
        <v>54</v>
      </c>
      <c r="AZ60" s="169"/>
      <c r="BA60" s="169"/>
      <c r="BC60" s="168">
        <f t="shared" ca="1" si="27"/>
        <v>54</v>
      </c>
      <c r="BD60" s="209">
        <f t="shared" ca="1" si="30"/>
        <v>54</v>
      </c>
      <c r="BF60" s="173">
        <f t="shared" ca="1" si="31"/>
        <v>0</v>
      </c>
      <c r="BG60" s="173">
        <f t="shared" ca="1" si="31"/>
        <v>0</v>
      </c>
      <c r="BH60" s="173">
        <f t="shared" ca="1" si="31"/>
        <v>0</v>
      </c>
      <c r="BI60" s="173">
        <f t="shared" ca="1" si="31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8"/>
        <v>99</v>
      </c>
      <c r="AW61" s="168">
        <f>COUNTIF( AV$7:AV61, AV61 )</f>
        <v>11</v>
      </c>
      <c r="AX61" s="208">
        <f t="shared" si="22"/>
        <v>100.1</v>
      </c>
      <c r="AY61" s="168">
        <f t="shared" si="29"/>
        <v>55</v>
      </c>
      <c r="AZ61" s="169"/>
      <c r="BA61" s="169"/>
      <c r="BC61" s="168">
        <f t="shared" ca="1" si="27"/>
        <v>55</v>
      </c>
      <c r="BD61" s="209">
        <f t="shared" ca="1" si="30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8"/>
        <v>99</v>
      </c>
      <c r="AW62" s="168">
        <f>COUNTIF( AV$7:AV62, AV62 )</f>
        <v>12</v>
      </c>
      <c r="AX62" s="208">
        <f t="shared" si="22"/>
        <v>100.2</v>
      </c>
      <c r="AY62" s="168">
        <f t="shared" si="29"/>
        <v>56</v>
      </c>
      <c r="AZ62" s="169"/>
      <c r="BA62" s="169"/>
      <c r="BC62" s="168">
        <f t="shared" ca="1" si="27"/>
        <v>56</v>
      </c>
      <c r="BD62" s="209">
        <f t="shared" ca="1" si="30"/>
        <v>56</v>
      </c>
      <c r="BF62" s="173">
        <f t="shared" ca="1" si="31"/>
        <v>0</v>
      </c>
      <c r="BG62" s="173">
        <f t="shared" ca="1" si="31"/>
        <v>0</v>
      </c>
      <c r="BH62" s="173">
        <f t="shared" ca="1" si="31"/>
        <v>0</v>
      </c>
      <c r="BI62" s="173">
        <f t="shared" ca="1" si="31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28"/>
        <v>99</v>
      </c>
      <c r="AW63" s="168">
        <f>COUNTIF( AV$7:AV63, AV63 )</f>
        <v>13</v>
      </c>
      <c r="AX63" s="208">
        <f t="shared" si="22"/>
        <v>100.3</v>
      </c>
      <c r="AY63" s="168">
        <f t="shared" si="29"/>
        <v>57</v>
      </c>
      <c r="AZ63" s="169"/>
      <c r="BA63" s="169"/>
      <c r="BC63" s="168">
        <f t="shared" ca="1" si="27"/>
        <v>57</v>
      </c>
      <c r="BD63" s="209">
        <f t="shared" ca="1" si="30"/>
        <v>57</v>
      </c>
      <c r="BF63" s="173">
        <f t="shared" ca="1" si="31"/>
        <v>0</v>
      </c>
      <c r="BG63" s="173">
        <f t="shared" ca="1" si="31"/>
        <v>0</v>
      </c>
      <c r="BH63" s="173">
        <f t="shared" ca="1" si="31"/>
        <v>0</v>
      </c>
      <c r="BI63" s="173">
        <f t="shared" ca="1" si="31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18.844444444444445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>SUMPRODUCT( L8:L13, Y8:Y13 ) / L14</f>
        <v>18.866666666666667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-- 2020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Reg_Percent_2019</v>
      </c>
      <c r="G2" s="172" t="s">
        <v>333</v>
      </c>
      <c r="AJ2" s="173" t="str">
        <f>AJ4 &amp; AJ3</f>
        <v>'Credit_2019Q4'!d:d</v>
      </c>
      <c r="AK2" s="173" t="str">
        <f>AK4 &amp; AK3</f>
        <v>'Credit_2019Q4'!b1</v>
      </c>
      <c r="AL2" s="173" t="str">
        <f>AL4 &amp; AL3</f>
        <v>'Credit_2019Q4'!c1</v>
      </c>
      <c r="AQ2" s="169"/>
    </row>
    <row r="3" spans="1:61" ht="18" hidden="1" outlineLevel="1" x14ac:dyDescent="0.2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'Credit_2019Q4'!</v>
      </c>
      <c r="AK4" s="169" t="str">
        <f t="shared" ref="AK4:AL4" si="0">$AQ$5</f>
        <v>'Credit_2019Q4'!</v>
      </c>
      <c r="AL4" s="169" t="str">
        <f t="shared" si="0"/>
        <v>'Credit_2019Q4'!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342</v>
      </c>
    </row>
    <row r="6" spans="1:61" ht="28.5" customHeight="1" x14ac:dyDescent="0.25">
      <c r="A6" s="219" t="s">
        <v>217</v>
      </c>
      <c r="B6" s="220" t="s">
        <v>343</v>
      </c>
      <c r="C6" s="249" t="s">
        <v>219</v>
      </c>
      <c r="D6" s="221"/>
      <c r="E6" s="222">
        <f ca="1">INDIRECT( E3 &amp; G1 )</f>
        <v>43830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4.5454545454545456E-2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0.27272727272727271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0.40909090909090912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0.18181818181818182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8" x14ac:dyDescent="0.2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6.8181818181818177E-2</v>
      </c>
      <c r="N12" s="234"/>
      <c r="O12" s="215">
        <f t="shared" ca="1" si="11"/>
        <v>2</v>
      </c>
      <c r="P12" s="216">
        <f t="shared" ca="1" si="12"/>
        <v>5.8823529411764705E-2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8" x14ac:dyDescent="0.2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2.2727272727272728E-2</v>
      </c>
      <c r="N13" s="235"/>
      <c r="O13" s="217">
        <f t="shared" ca="1" si="11"/>
        <v>1</v>
      </c>
      <c r="P13" s="218">
        <f t="shared" ca="1" si="12"/>
        <v>2.9411764705882353E-2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18.977272727272727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18.970588235294116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315</v>
      </c>
      <c r="AS39" s="207" t="s">
        <v>315</v>
      </c>
      <c r="AT39" s="207" t="s">
        <v>307</v>
      </c>
      <c r="AV39" s="168">
        <f t="shared" si="21"/>
        <v>99</v>
      </c>
      <c r="AW39" s="168">
        <f>COUNTIF( AV$7:AV39, AV39 )</f>
        <v>1</v>
      </c>
      <c r="AX39" s="208">
        <f t="shared" si="22"/>
        <v>99.1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338</v>
      </c>
      <c r="B40" s="224" t="s">
        <v>146</v>
      </c>
      <c r="C40" s="224">
        <v>18</v>
      </c>
      <c r="D40" s="224" t="s">
        <v>341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284</v>
      </c>
      <c r="B47" s="224" t="s">
        <v>147</v>
      </c>
      <c r="C47" s="224">
        <v>17</v>
      </c>
      <c r="D47" s="224" t="s">
        <v>285</v>
      </c>
      <c r="E47" s="225" t="str">
        <f t="shared" ca="1" si="8"/>
        <v>MR</v>
      </c>
      <c r="F47" s="347"/>
      <c r="G47" s="348">
        <f t="shared" ca="1" si="1"/>
        <v>27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ht="13.8" x14ac:dyDescent="0.25">
      <c r="A48" s="223" t="s">
        <v>310</v>
      </c>
      <c r="B48" s="224" t="s">
        <v>147</v>
      </c>
      <c r="C48" s="224">
        <v>17</v>
      </c>
      <c r="D48" s="224" t="s">
        <v>311</v>
      </c>
      <c r="E48" s="225" t="str">
        <f t="shared" ca="1" si="8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ht="13.8" x14ac:dyDescent="0.25">
      <c r="A49" s="223" t="s">
        <v>264</v>
      </c>
      <c r="B49" s="224" t="s">
        <v>180</v>
      </c>
      <c r="C49" s="224">
        <v>15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</v>
      </c>
      <c r="AL49" s="169">
        <f t="shared" ca="1" si="20"/>
        <v>15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ht="13.8" x14ac:dyDescent="0.25">
      <c r="A50" s="223" t="s">
        <v>306</v>
      </c>
      <c r="B50" s="224" t="s">
        <v>315</v>
      </c>
      <c r="C50" s="224" t="s">
        <v>315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>Change</v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/>
      </c>
      <c r="BH50" s="173" t="str">
        <f t="shared" ca="1" si="25"/>
        <v/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2</v>
      </c>
      <c r="AX51" s="208">
        <f t="shared" si="22"/>
        <v>99.2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3</v>
      </c>
      <c r="AX52" s="208">
        <f t="shared" si="22"/>
        <v>99.3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4</v>
      </c>
      <c r="AX53" s="208">
        <f t="shared" si="22"/>
        <v>99.4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5</v>
      </c>
      <c r="AX54" s="208">
        <f t="shared" si="22"/>
        <v>99.5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6</v>
      </c>
      <c r="AX55" s="208">
        <f t="shared" si="22"/>
        <v>99.6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7</v>
      </c>
      <c r="AX56" s="208">
        <f t="shared" si="22"/>
        <v>99.7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8</v>
      </c>
      <c r="AX57" s="208">
        <f t="shared" si="22"/>
        <v>99.8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9</v>
      </c>
      <c r="AX58" s="208">
        <f t="shared" si="22"/>
        <v>99.9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10</v>
      </c>
      <c r="AX59" s="208">
        <f t="shared" si="22"/>
        <v>100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11</v>
      </c>
      <c r="AX60" s="208">
        <f t="shared" si="22"/>
        <v>100.1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12</v>
      </c>
      <c r="AX61" s="208">
        <f t="shared" si="22"/>
        <v>100.2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13</v>
      </c>
      <c r="AX62" s="208">
        <f t="shared" si="22"/>
        <v>100.3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14</v>
      </c>
      <c r="AX63" s="208">
        <f t="shared" si="22"/>
        <v>100.4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18.977272727272727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-- 2019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Reg_Percent_2018</v>
      </c>
      <c r="G2" s="172" t="s">
        <v>344</v>
      </c>
      <c r="AJ2" s="173" t="str">
        <f>AJ4 &amp; AJ3</f>
        <v>'Credit_2019Q3'!d:d</v>
      </c>
      <c r="AK2" s="173" t="str">
        <f>AK4 &amp; AK3</f>
        <v>'Credit_2019Q3'!b1</v>
      </c>
      <c r="AL2" s="173" t="str">
        <f>AL4 &amp; AL3</f>
        <v>'Credit_2019Q3'!c1</v>
      </c>
      <c r="AQ2" s="169"/>
    </row>
    <row r="3" spans="1:61" ht="18" hidden="1" outlineLevel="1" x14ac:dyDescent="0.2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'Credit_2019Q3'!</v>
      </c>
      <c r="AK4" s="169" t="str">
        <f t="shared" ref="AK4:AL4" si="0">$AQ$5</f>
        <v>'Credit_2019Q3'!</v>
      </c>
      <c r="AL4" s="169" t="str">
        <f t="shared" si="0"/>
        <v>'Credit_2019Q3'!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345</v>
      </c>
    </row>
    <row r="6" spans="1:61" ht="28.5" customHeight="1" x14ac:dyDescent="0.25">
      <c r="A6" s="219" t="s">
        <v>217</v>
      </c>
      <c r="B6" s="220" t="s">
        <v>346</v>
      </c>
      <c r="C6" s="249" t="s">
        <v>219</v>
      </c>
      <c r="D6" s="221"/>
      <c r="E6" s="222">
        <f ca="1">INDIRECT( E3 &amp; G1 )</f>
        <v>43465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8" x14ac:dyDescent="0.2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6.6666666666666666E-2</v>
      </c>
      <c r="N12" s="234"/>
      <c r="O12" s="215">
        <f t="shared" ca="1" si="11"/>
        <v>2</v>
      </c>
      <c r="P12" s="216">
        <f t="shared" ca="1" si="12"/>
        <v>5.7142857142857141E-2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8" x14ac:dyDescent="0.2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4.4444444444444446E-2</v>
      </c>
      <c r="N13" s="235"/>
      <c r="O13" s="217">
        <f t="shared" ca="1" si="11"/>
        <v>2</v>
      </c>
      <c r="P13" s="218">
        <f t="shared" ca="1" si="12"/>
        <v>5.7142857142857141E-2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18.911111111111111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18.644444444444446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18.514285714285716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199</v>
      </c>
      <c r="AS39" s="207">
        <v>3</v>
      </c>
      <c r="AT39" s="207" t="s">
        <v>307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338</v>
      </c>
      <c r="B40" s="224" t="s">
        <v>146</v>
      </c>
      <c r="C40" s="224">
        <v>18</v>
      </c>
      <c r="D40" s="224" t="s">
        <v>341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284</v>
      </c>
      <c r="B47" s="224" t="s">
        <v>147</v>
      </c>
      <c r="C47" s="224">
        <v>17</v>
      </c>
      <c r="D47" s="224" t="s">
        <v>285</v>
      </c>
      <c r="E47" s="225" t="str">
        <f t="shared" ca="1" si="8"/>
        <v>MR</v>
      </c>
      <c r="F47" s="347"/>
      <c r="G47" s="348">
        <f t="shared" ca="1" si="1"/>
        <v>27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ht="13.8" x14ac:dyDescent="0.25">
      <c r="A48" s="223" t="s">
        <v>310</v>
      </c>
      <c r="B48" s="224" t="s">
        <v>147</v>
      </c>
      <c r="C48" s="224">
        <v>17</v>
      </c>
      <c r="D48" s="224" t="s">
        <v>311</v>
      </c>
      <c r="E48" s="225" t="str">
        <f t="shared" ca="1" si="8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ht="13.8" x14ac:dyDescent="0.25">
      <c r="A49" s="223" t="s">
        <v>264</v>
      </c>
      <c r="B49" s="224" t="s">
        <v>180</v>
      </c>
      <c r="C49" s="224">
        <v>15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>
        <f t="shared" ca="1" si="18"/>
        <v>1</v>
      </c>
      <c r="AJ49" s="169">
        <f t="shared" ca="1" si="19"/>
        <v>47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>Change</v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ht="13.8" x14ac:dyDescent="0.25">
      <c r="A50" s="223" t="s">
        <v>306</v>
      </c>
      <c r="B50" s="224" t="s">
        <v>199</v>
      </c>
      <c r="C50" s="224">
        <v>3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18.644444444444446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18.911111111111111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-- 2019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Reg_Percent_2018</v>
      </c>
      <c r="G2" s="172" t="s">
        <v>344</v>
      </c>
      <c r="AJ2" s="173" t="str">
        <f>AJ4 &amp; AJ3</f>
        <v>'Credit_2019Q2'!d:d</v>
      </c>
      <c r="AK2" s="173" t="str">
        <f>AK4 &amp; AK3</f>
        <v>'Credit_2019Q2'!b1</v>
      </c>
      <c r="AL2" s="173" t="str">
        <f>AL4 &amp; AL3</f>
        <v>'Credit_2019Q2'!c1</v>
      </c>
      <c r="AQ2" s="169"/>
    </row>
    <row r="3" spans="1:61" ht="18" hidden="1" outlineLevel="1" x14ac:dyDescent="0.2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'Credit_2019Q2'!</v>
      </c>
      <c r="AK4" s="169" t="str">
        <f t="shared" ref="AK4:AL4" si="0">$AQ$5</f>
        <v>'Credit_2019Q2'!</v>
      </c>
      <c r="AL4" s="169" t="str">
        <f t="shared" si="0"/>
        <v>'Credit_2019Q2'!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347</v>
      </c>
    </row>
    <row r="6" spans="1:61" ht="28.5" customHeight="1" x14ac:dyDescent="0.25">
      <c r="A6" s="219" t="s">
        <v>217</v>
      </c>
      <c r="B6" s="220" t="s">
        <v>348</v>
      </c>
      <c r="C6" s="249" t="s">
        <v>219</v>
      </c>
      <c r="D6" s="221"/>
      <c r="E6" s="222">
        <f ca="1">INDIRECT( E3 &amp; G1 )</f>
        <v>43465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8" x14ac:dyDescent="0.25">
      <c r="A12" s="223" t="s">
        <v>235</v>
      </c>
      <c r="B12" s="224" t="s">
        <v>144</v>
      </c>
      <c r="C12" s="224">
        <v>20</v>
      </c>
      <c r="D12" s="224" t="s">
        <v>236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8" x14ac:dyDescent="0.25">
      <c r="A13" s="223" t="s">
        <v>240</v>
      </c>
      <c r="B13" s="224" t="s">
        <v>144</v>
      </c>
      <c r="C13" s="224">
        <v>20</v>
      </c>
      <c r="D13" s="224" t="s">
        <v>241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>
        <f t="shared" ca="1" si="18"/>
        <v>1</v>
      </c>
      <c r="AJ13" s="169">
        <f t="shared" ca="1" si="19"/>
        <v>7</v>
      </c>
      <c r="AK13" s="169" t="str">
        <f t="shared" ca="1" si="20"/>
        <v>A+</v>
      </c>
      <c r="AL13" s="169">
        <f t="shared" ca="1" si="20"/>
        <v>22</v>
      </c>
      <c r="AM13" s="169" t="str">
        <f t="shared" ca="1" si="4"/>
        <v>Change</v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18.933333333333334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18.68888888888889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18.571428571428573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144</v>
      </c>
      <c r="AS27" s="207">
        <v>20</v>
      </c>
      <c r="AT27" s="207" t="s">
        <v>241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199</v>
      </c>
      <c r="AS39" s="207">
        <v>3</v>
      </c>
      <c r="AT39" s="207" t="s">
        <v>307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338</v>
      </c>
      <c r="B40" s="224" t="s">
        <v>146</v>
      </c>
      <c r="C40" s="224">
        <v>18</v>
      </c>
      <c r="D40" s="224" t="s">
        <v>341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264</v>
      </c>
      <c r="B47" s="224" t="s">
        <v>147</v>
      </c>
      <c r="C47" s="224">
        <v>17</v>
      </c>
      <c r="D47" s="224" t="s">
        <v>265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8" x14ac:dyDescent="0.25">
      <c r="A48" s="223" t="s">
        <v>284</v>
      </c>
      <c r="B48" s="224" t="s">
        <v>147</v>
      </c>
      <c r="C48" s="224">
        <v>17</v>
      </c>
      <c r="D48" s="224" t="s">
        <v>285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8" x14ac:dyDescent="0.25">
      <c r="A49" s="223" t="s">
        <v>310</v>
      </c>
      <c r="B49" s="224" t="s">
        <v>147</v>
      </c>
      <c r="C49" s="224">
        <v>17</v>
      </c>
      <c r="D49" s="224" t="s">
        <v>311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8" x14ac:dyDescent="0.25">
      <c r="A50" s="223" t="s">
        <v>306</v>
      </c>
      <c r="B50" s="224" t="s">
        <v>199</v>
      </c>
      <c r="C50" s="224">
        <v>3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18.68888888888889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18.933333333333334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-- 2019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Reg_Percent_2018</v>
      </c>
      <c r="G2" s="172" t="s">
        <v>344</v>
      </c>
      <c r="AJ2" s="173" t="str">
        <f>AJ4 &amp; AJ3</f>
        <v>'Credit_2019Q1'!d:d</v>
      </c>
      <c r="AK2" s="173" t="str">
        <f>AK4 &amp; AK3</f>
        <v>'Credit_2019Q1'!b1</v>
      </c>
      <c r="AL2" s="173" t="str">
        <f>AL4 &amp; AL3</f>
        <v>'Credit_2019Q1'!c1</v>
      </c>
      <c r="AQ2" s="169"/>
    </row>
    <row r="3" spans="1:61" ht="18" hidden="1" outlineLevel="1" x14ac:dyDescent="0.2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'Credit_2019Q1'!</v>
      </c>
      <c r="AK4" s="169" t="str">
        <f t="shared" ref="AK4:AL4" si="0">$AQ$5</f>
        <v>'Credit_2019Q1'!</v>
      </c>
      <c r="AL4" s="169" t="str">
        <f t="shared" si="0"/>
        <v>'Credit_2019Q1'!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349</v>
      </c>
    </row>
    <row r="6" spans="1:61" ht="28.5" customHeight="1" x14ac:dyDescent="0.25">
      <c r="A6" s="219" t="s">
        <v>217</v>
      </c>
      <c r="B6" s="220" t="s">
        <v>350</v>
      </c>
      <c r="C6" s="249" t="s">
        <v>219</v>
      </c>
      <c r="D6" s="221"/>
      <c r="E6" s="222">
        <f ca="1">INDIRECT( E3 &amp; G1 )</f>
        <v>43465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235</v>
      </c>
      <c r="B13" s="224" t="s">
        <v>144</v>
      </c>
      <c r="C13" s="224">
        <v>20</v>
      </c>
      <c r="D13" s="224" t="s">
        <v>236</v>
      </c>
      <c r="E13" s="225" t="str">
        <f t="shared" ca="1" si="8"/>
        <v>R</v>
      </c>
      <c r="F13" s="347"/>
      <c r="G13" s="348">
        <f t="shared" ca="1" si="1"/>
        <v>23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18.733333333333334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18.62857142857143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199</v>
      </c>
      <c r="AS39" s="207">
        <v>3</v>
      </c>
      <c r="AT39" s="207" t="s">
        <v>307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338</v>
      </c>
      <c r="B40" s="224" t="s">
        <v>146</v>
      </c>
      <c r="C40" s="224">
        <v>18</v>
      </c>
      <c r="D40" s="224" t="s">
        <v>341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264</v>
      </c>
      <c r="B47" s="224" t="s">
        <v>147</v>
      </c>
      <c r="C47" s="224">
        <v>17</v>
      </c>
      <c r="D47" s="224" t="s">
        <v>265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8" x14ac:dyDescent="0.25">
      <c r="A48" s="223" t="s">
        <v>284</v>
      </c>
      <c r="B48" s="224" t="s">
        <v>147</v>
      </c>
      <c r="C48" s="224">
        <v>17</v>
      </c>
      <c r="D48" s="224" t="s">
        <v>285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8" x14ac:dyDescent="0.25">
      <c r="A49" s="223" t="s">
        <v>310</v>
      </c>
      <c r="B49" s="224" t="s">
        <v>147</v>
      </c>
      <c r="C49" s="224">
        <v>17</v>
      </c>
      <c r="D49" s="224" t="s">
        <v>311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8" x14ac:dyDescent="0.25">
      <c r="A50" s="223" t="s">
        <v>306</v>
      </c>
      <c r="B50" s="224" t="s">
        <v>199</v>
      </c>
      <c r="C50" s="224">
        <v>3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18.955555555555556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-- 2019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Reg_Percent_2018</v>
      </c>
      <c r="G2" s="172" t="s">
        <v>344</v>
      </c>
      <c r="AJ2" s="173" t="str">
        <f>AJ4 &amp; AJ3</f>
        <v>'Credit_2018Q4'!d:d</v>
      </c>
      <c r="AK2" s="173" t="str">
        <f>AK4 &amp; AK3</f>
        <v>'Credit_2018Q4'!b1</v>
      </c>
      <c r="AL2" s="173" t="str">
        <f>AL4 &amp; AL3</f>
        <v>'Credit_2018Q4'!c1</v>
      </c>
      <c r="AQ2" s="169"/>
    </row>
    <row r="3" spans="1:61" ht="18" hidden="1" outlineLevel="1" x14ac:dyDescent="0.2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'Credit_2018Q4'!</v>
      </c>
      <c r="AK4" s="169" t="str">
        <f t="shared" ref="AK4:AL4" si="0">$AQ$5</f>
        <v>'Credit_2018Q4'!</v>
      </c>
      <c r="AL4" s="169" t="str">
        <f t="shared" si="0"/>
        <v>'Credit_2018Q4'!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(45)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(10)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351</v>
      </c>
    </row>
    <row r="6" spans="1:61" ht="28.5" customHeight="1" x14ac:dyDescent="0.25">
      <c r="A6" s="219" t="s">
        <v>217</v>
      </c>
      <c r="B6" s="220" t="s">
        <v>352</v>
      </c>
      <c r="C6" s="249" t="s">
        <v>219</v>
      </c>
      <c r="D6" s="221"/>
      <c r="E6" s="222">
        <f ca="1">INDIRECT( E3 &amp; G1 )</f>
        <v>43465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235</v>
      </c>
      <c r="B13" s="224" t="s">
        <v>144</v>
      </c>
      <c r="C13" s="224">
        <v>20</v>
      </c>
      <c r="D13" s="224" t="s">
        <v>236</v>
      </c>
      <c r="E13" s="225" t="str">
        <f t="shared" ca="1" si="8"/>
        <v>R</v>
      </c>
      <c r="F13" s="347"/>
      <c r="G13" s="348">
        <f t="shared" ca="1" si="1"/>
        <v>23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18.733333333333334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18.62857142857143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19.100000000000001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20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21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22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23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238</v>
      </c>
      <c r="B22" s="224" t="s">
        <v>145</v>
      </c>
      <c r="C22" s="224">
        <v>19</v>
      </c>
      <c r="D22" s="224" t="s">
        <v>239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24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250</v>
      </c>
      <c r="B23" s="224" t="s">
        <v>145</v>
      </c>
      <c r="C23" s="224">
        <v>19</v>
      </c>
      <c r="D23" s="224" t="s">
        <v>251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25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254</v>
      </c>
      <c r="B24" s="224" t="s">
        <v>145</v>
      </c>
      <c r="C24" s="224">
        <v>19</v>
      </c>
      <c r="D24" s="224" t="s">
        <v>255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>
        <f t="shared" ca="1" si="18"/>
        <v>1</v>
      </c>
      <c r="AJ24" s="169">
        <f t="shared" ca="1" si="19"/>
        <v>11</v>
      </c>
      <c r="AK24" s="169" t="str">
        <f t="shared" ca="1" si="20"/>
        <v>A-</v>
      </c>
      <c r="AL24" s="169">
        <f t="shared" ca="1" si="20"/>
        <v>20</v>
      </c>
      <c r="AM24" s="169" t="str">
        <f t="shared" ca="1" si="4"/>
        <v>Change</v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272</v>
      </c>
      <c r="B28" s="224" t="s">
        <v>145</v>
      </c>
      <c r="C28" s="224">
        <v>19</v>
      </c>
      <c r="D28" s="224" t="s">
        <v>273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30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145</v>
      </c>
      <c r="AS28" s="207">
        <v>19</v>
      </c>
      <c r="AT28" s="207" t="s">
        <v>275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274</v>
      </c>
      <c r="B29" s="224" t="s">
        <v>145</v>
      </c>
      <c r="C29" s="224">
        <v>19</v>
      </c>
      <c r="D29" s="224" t="s">
        <v>275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42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290</v>
      </c>
      <c r="B34" s="224" t="s">
        <v>145</v>
      </c>
      <c r="C34" s="224">
        <v>19</v>
      </c>
      <c r="D34" s="224" t="s">
        <v>291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38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270</v>
      </c>
      <c r="B39" s="224" t="s">
        <v>146</v>
      </c>
      <c r="C39" s="224">
        <v>18</v>
      </c>
      <c r="D39" s="224" t="s">
        <v>271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>
        <f t="shared" ca="1" si="18"/>
        <v>1</v>
      </c>
      <c r="AJ39" s="169">
        <f t="shared" ca="1" si="19"/>
        <v>29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>Change</v>
      </c>
      <c r="AQ39" s="207" t="s">
        <v>306</v>
      </c>
      <c r="AR39" s="207" t="s">
        <v>199</v>
      </c>
      <c r="AS39" s="207">
        <v>3</v>
      </c>
      <c r="AT39" s="207" t="s">
        <v>307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338</v>
      </c>
      <c r="B40" s="224" t="s">
        <v>146</v>
      </c>
      <c r="C40" s="224">
        <v>18</v>
      </c>
      <c r="D40" s="224" t="s">
        <v>341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280</v>
      </c>
      <c r="B41" s="224" t="s">
        <v>146</v>
      </c>
      <c r="C41" s="224">
        <v>18</v>
      </c>
      <c r="D41" s="224" t="s">
        <v>281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292</v>
      </c>
      <c r="B43" s="224" t="s">
        <v>146</v>
      </c>
      <c r="C43" s="224">
        <v>18</v>
      </c>
      <c r="D43" s="224" t="s">
        <v>293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302</v>
      </c>
      <c r="B44" s="224" t="s">
        <v>146</v>
      </c>
      <c r="C44" s="224">
        <v>18</v>
      </c>
      <c r="D44" s="224" t="s">
        <v>303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304</v>
      </c>
      <c r="B45" s="224" t="s">
        <v>146</v>
      </c>
      <c r="C45" s="224">
        <v>18</v>
      </c>
      <c r="D45" s="224" t="s">
        <v>305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47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259</v>
      </c>
      <c r="B46" s="224" t="s">
        <v>147</v>
      </c>
      <c r="C46" s="224">
        <v>17</v>
      </c>
      <c r="D46" s="224" t="s">
        <v>260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48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296</v>
      </c>
      <c r="AR46" s="207" t="s">
        <v>145</v>
      </c>
      <c r="AS46" s="207">
        <v>19</v>
      </c>
      <c r="AT46" s="207" t="s">
        <v>297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264</v>
      </c>
      <c r="B47" s="224" t="s">
        <v>147</v>
      </c>
      <c r="C47" s="224">
        <v>17</v>
      </c>
      <c r="D47" s="224" t="s">
        <v>265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49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298</v>
      </c>
      <c r="AR47" s="207" t="s">
        <v>144</v>
      </c>
      <c r="AS47" s="207">
        <v>20</v>
      </c>
      <c r="AT47" s="207" t="s">
        <v>299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8" x14ac:dyDescent="0.25">
      <c r="A48" s="223" t="s">
        <v>284</v>
      </c>
      <c r="B48" s="224" t="s">
        <v>147</v>
      </c>
      <c r="C48" s="224">
        <v>17</v>
      </c>
      <c r="D48" s="224" t="s">
        <v>285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50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300</v>
      </c>
      <c r="AR48" s="207" t="s">
        <v>145</v>
      </c>
      <c r="AS48" s="207">
        <v>19</v>
      </c>
      <c r="AT48" s="207" t="s">
        <v>301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8" x14ac:dyDescent="0.25">
      <c r="A49" s="223" t="s">
        <v>310</v>
      </c>
      <c r="B49" s="224" t="s">
        <v>147</v>
      </c>
      <c r="C49" s="224">
        <v>17</v>
      </c>
      <c r="D49" s="224" t="s">
        <v>311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52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252</v>
      </c>
      <c r="AR49" s="207" t="s">
        <v>144</v>
      </c>
      <c r="AS49" s="207">
        <v>20</v>
      </c>
      <c r="AT49" s="207" t="s">
        <v>253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8" x14ac:dyDescent="0.25">
      <c r="A50" s="223" t="s">
        <v>306</v>
      </c>
      <c r="B50" s="224" t="s">
        <v>199</v>
      </c>
      <c r="C50" s="224">
        <v>3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>Change</v>
      </c>
      <c r="AQ50" s="207" t="s">
        <v>256</v>
      </c>
      <c r="AR50" s="207" t="s">
        <v>144</v>
      </c>
      <c r="AS50" s="207">
        <v>20</v>
      </c>
      <c r="AT50" s="207" t="s">
        <v>257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18.955555555555556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C1:X19"/>
  <sheetViews>
    <sheetView showGridLines="0" zoomScale="90" zoomScaleNormal="90" workbookViewId="0"/>
  </sheetViews>
  <sheetFormatPr defaultColWidth="9.109375" defaultRowHeight="13.2" x14ac:dyDescent="0.25"/>
  <cols>
    <col min="1" max="2" width="2.6640625" customWidth="1"/>
    <col min="3" max="3" width="25.109375" customWidth="1"/>
    <col min="9" max="10" width="8.44140625" customWidth="1"/>
  </cols>
  <sheetData>
    <row r="1" spans="3:24" ht="17.399999999999999" x14ac:dyDescent="0.3">
      <c r="C1" s="12" t="s">
        <v>108</v>
      </c>
    </row>
    <row r="2" spans="3:24" ht="17.399999999999999" x14ac:dyDescent="0.3">
      <c r="C2" s="12"/>
    </row>
    <row r="3" spans="3:24" ht="17.399999999999999" x14ac:dyDescent="0.3">
      <c r="C3" s="12"/>
    </row>
    <row r="5" spans="3:24" x14ac:dyDescent="0.25">
      <c r="C5" s="362" t="s">
        <v>109</v>
      </c>
      <c r="D5" s="362"/>
      <c r="E5" s="362"/>
      <c r="F5" s="362"/>
      <c r="G5" s="363"/>
      <c r="H5" s="363"/>
      <c r="I5" s="363"/>
    </row>
    <row r="6" spans="3:24" x14ac:dyDescent="0.25">
      <c r="C6" s="31"/>
      <c r="D6" s="31"/>
      <c r="E6" s="31"/>
      <c r="F6" s="31"/>
      <c r="G6" s="31"/>
      <c r="H6" s="31"/>
      <c r="I6" s="31"/>
    </row>
    <row r="7" spans="3:24" x14ac:dyDescent="0.25">
      <c r="C7" s="361" t="s">
        <v>110</v>
      </c>
      <c r="D7" s="361"/>
      <c r="E7" s="361"/>
      <c r="F7" s="361"/>
      <c r="G7" s="32"/>
      <c r="H7" s="32"/>
      <c r="I7" s="31"/>
    </row>
    <row r="8" spans="3:24" x14ac:dyDescent="0.25">
      <c r="C8" s="31"/>
      <c r="D8" s="31"/>
      <c r="E8" s="31"/>
      <c r="F8" s="31"/>
      <c r="G8" s="31"/>
      <c r="H8" s="31"/>
      <c r="I8" s="31"/>
    </row>
    <row r="9" spans="3:24" x14ac:dyDescent="0.25">
      <c r="C9" s="30" t="s">
        <v>111</v>
      </c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  <c r="X9" s="34">
        <v>2022</v>
      </c>
    </row>
    <row r="10" spans="3:24" x14ac:dyDescent="0.25">
      <c r="C10" s="31"/>
      <c r="D10" s="34"/>
      <c r="E10" s="34"/>
      <c r="F10" s="34"/>
      <c r="G10" s="31"/>
      <c r="H10" s="31"/>
      <c r="I10" s="31"/>
      <c r="J10" s="31"/>
      <c r="K10" s="31"/>
    </row>
    <row r="11" spans="3:24" x14ac:dyDescent="0.25">
      <c r="C11" s="306" t="s">
        <v>112</v>
      </c>
      <c r="D11" s="302">
        <v>57</v>
      </c>
      <c r="E11" s="302">
        <v>62</v>
      </c>
      <c r="F11" s="302">
        <v>34</v>
      </c>
      <c r="G11" s="302">
        <v>22</v>
      </c>
      <c r="H11" s="302">
        <v>31</v>
      </c>
      <c r="I11" s="302">
        <v>41</v>
      </c>
      <c r="J11" s="302">
        <v>17</v>
      </c>
      <c r="K11" s="302">
        <v>14</v>
      </c>
      <c r="L11" s="302">
        <v>24</v>
      </c>
      <c r="M11" s="302">
        <f ca="1">'II. Upgrades &amp; Downgrades'!AS50</f>
        <v>25</v>
      </c>
      <c r="N11" s="302">
        <f ca="1">'II. Upgrades &amp; Downgrades'!AW50</f>
        <v>26</v>
      </c>
      <c r="O11" s="302">
        <f ca="1">'II. Upgrades &amp; Downgrades'!BA50</f>
        <v>23</v>
      </c>
      <c r="P11" s="302">
        <f ca="1">'II. Upgrades &amp; Downgrades'!BE50</f>
        <v>14</v>
      </c>
      <c r="Q11" s="302">
        <f ca="1">'II. Upgrades &amp; Downgrades'!BI50</f>
        <v>11</v>
      </c>
      <c r="R11" s="302">
        <f ca="1">'II. Upgrades &amp; Downgrades'!BM50</f>
        <v>16</v>
      </c>
      <c r="S11" s="302">
        <f ca="1">'II. Upgrades &amp; Downgrades'!BQ50</f>
        <v>15</v>
      </c>
      <c r="T11" s="302">
        <f ca="1">'II. Upgrades &amp; Downgrades'!BU50</f>
        <v>33</v>
      </c>
      <c r="U11" s="302">
        <f ca="1">'II. Upgrades &amp; Downgrades'!BY50</f>
        <v>36</v>
      </c>
      <c r="V11" s="302">
        <f ca="1">'II. Upgrades &amp; Downgrades'!CC50</f>
        <v>24</v>
      </c>
      <c r="W11" s="302">
        <v>6</v>
      </c>
      <c r="X11" s="302">
        <v>7</v>
      </c>
    </row>
    <row r="12" spans="3:24" x14ac:dyDescent="0.25">
      <c r="C12" s="305" t="s">
        <v>113</v>
      </c>
      <c r="D12" s="299">
        <v>118</v>
      </c>
      <c r="E12" s="299">
        <v>79</v>
      </c>
      <c r="F12" s="299">
        <v>42</v>
      </c>
      <c r="G12" s="299">
        <v>46</v>
      </c>
      <c r="H12" s="299">
        <v>39</v>
      </c>
      <c r="I12" s="299">
        <v>32</v>
      </c>
      <c r="J12" s="299">
        <v>6</v>
      </c>
      <c r="K12" s="299">
        <v>23</v>
      </c>
      <c r="L12" s="299">
        <v>20</v>
      </c>
      <c r="M12" s="299">
        <f ca="1">'II. Upgrades &amp; Downgrades'!AS51</f>
        <v>11</v>
      </c>
      <c r="N12" s="299">
        <f ca="1">'II. Upgrades &amp; Downgrades'!AW51</f>
        <v>20</v>
      </c>
      <c r="O12" s="299">
        <f ca="1">'II. Upgrades &amp; Downgrades'!BA51</f>
        <v>17</v>
      </c>
      <c r="P12" s="299">
        <f ca="1">'II. Upgrades &amp; Downgrades'!BE51</f>
        <v>85</v>
      </c>
      <c r="Q12" s="299">
        <f ca="1">'II. Upgrades &amp; Downgrades'!BI51</f>
        <v>12</v>
      </c>
      <c r="R12" s="299">
        <f ca="1">'II. Upgrades &amp; Downgrades'!BM51</f>
        <v>13</v>
      </c>
      <c r="S12" s="299">
        <f ca="1">'II. Upgrades &amp; Downgrades'!BQ51</f>
        <v>12</v>
      </c>
      <c r="T12" s="299">
        <f ca="1">'II. Upgrades &amp; Downgrades'!BU51</f>
        <v>23</v>
      </c>
      <c r="U12" s="299">
        <f ca="1">'II. Upgrades &amp; Downgrades'!BY51</f>
        <v>20</v>
      </c>
      <c r="V12" s="299">
        <f ca="1">'II. Upgrades &amp; Downgrades'!CC51</f>
        <v>12</v>
      </c>
      <c r="W12" s="299">
        <v>12</v>
      </c>
      <c r="X12" s="299">
        <v>3</v>
      </c>
    </row>
    <row r="13" spans="3:24" x14ac:dyDescent="0.25">
      <c r="C13" s="307" t="s">
        <v>114</v>
      </c>
      <c r="D13" s="304">
        <v>125</v>
      </c>
      <c r="E13" s="304">
        <v>112</v>
      </c>
      <c r="F13" s="304">
        <v>34</v>
      </c>
      <c r="G13" s="304">
        <v>53</v>
      </c>
      <c r="H13" s="304">
        <v>40</v>
      </c>
      <c r="I13" s="304">
        <v>48</v>
      </c>
      <c r="J13" s="304">
        <v>27</v>
      </c>
      <c r="K13" s="304">
        <v>20</v>
      </c>
      <c r="L13" s="304">
        <v>36</v>
      </c>
      <c r="M13" s="304">
        <f ca="1">'II. Upgrades &amp; Downgrades'!AS52</f>
        <v>24</v>
      </c>
      <c r="N13" s="304">
        <f ca="1">'II. Upgrades &amp; Downgrades'!AW52</f>
        <v>30</v>
      </c>
      <c r="O13" s="304">
        <f ca="1">'II. Upgrades &amp; Downgrades'!BA52</f>
        <v>40</v>
      </c>
      <c r="P13" s="304">
        <f ca="1">'II. Upgrades &amp; Downgrades'!BE52</f>
        <v>7</v>
      </c>
      <c r="Q13" s="304">
        <f ca="1">'II. Upgrades &amp; Downgrades'!BI52</f>
        <v>27</v>
      </c>
      <c r="R13" s="304">
        <f ca="1">'II. Upgrades &amp; Downgrades'!BM52</f>
        <v>38</v>
      </c>
      <c r="S13" s="304">
        <f ca="1">'II. Upgrades &amp; Downgrades'!BQ52</f>
        <v>25</v>
      </c>
      <c r="T13" s="304">
        <f ca="1">'II. Upgrades &amp; Downgrades'!BU52</f>
        <v>37</v>
      </c>
      <c r="U13" s="304">
        <f ca="1">'II. Upgrades &amp; Downgrades'!BY52</f>
        <v>34</v>
      </c>
      <c r="V13" s="304">
        <f ca="1">'II. Upgrades &amp; Downgrades'!CC52</f>
        <v>23</v>
      </c>
      <c r="W13" s="304">
        <v>34</v>
      </c>
      <c r="X13" s="304">
        <v>2</v>
      </c>
    </row>
    <row r="14" spans="3:24" s="11" customFormat="1" x14ac:dyDescent="0.25">
      <c r="C14" s="300" t="s">
        <v>115</v>
      </c>
      <c r="D14" s="300">
        <f t="shared" ref="D14:J14" si="0">SUM(D11:D13)</f>
        <v>300</v>
      </c>
      <c r="E14" s="300">
        <f t="shared" si="0"/>
        <v>253</v>
      </c>
      <c r="F14" s="300">
        <f t="shared" si="0"/>
        <v>110</v>
      </c>
      <c r="G14" s="300">
        <f t="shared" si="0"/>
        <v>121</v>
      </c>
      <c r="H14" s="300">
        <f t="shared" si="0"/>
        <v>110</v>
      </c>
      <c r="I14" s="300">
        <f t="shared" si="0"/>
        <v>121</v>
      </c>
      <c r="J14" s="300">
        <f t="shared" si="0"/>
        <v>50</v>
      </c>
      <c r="K14" s="300">
        <f t="shared" ref="K14:T14" si="1">SUM(K11:K13)</f>
        <v>57</v>
      </c>
      <c r="L14" s="300">
        <f t="shared" si="1"/>
        <v>80</v>
      </c>
      <c r="M14" s="300">
        <f t="shared" ca="1" si="1"/>
        <v>60</v>
      </c>
      <c r="N14" s="300">
        <f t="shared" ca="1" si="1"/>
        <v>76</v>
      </c>
      <c r="O14" s="300">
        <f t="shared" ca="1" si="1"/>
        <v>80</v>
      </c>
      <c r="P14" s="300">
        <f t="shared" ref="P14:R14" ca="1" si="2">SUM(P11:P13)</f>
        <v>106</v>
      </c>
      <c r="Q14" s="300">
        <f t="shared" ca="1" si="2"/>
        <v>50</v>
      </c>
      <c r="R14" s="300">
        <f t="shared" ca="1" si="2"/>
        <v>67</v>
      </c>
      <c r="S14" s="300">
        <f t="shared" ref="S14" ca="1" si="3">SUM(S11:S13)</f>
        <v>52</v>
      </c>
      <c r="T14" s="300">
        <f t="shared" ca="1" si="1"/>
        <v>93</v>
      </c>
      <c r="U14" s="300">
        <f ca="1">'II. Upgrades &amp; Downgrades'!BY53</f>
        <v>90</v>
      </c>
      <c r="V14" s="300">
        <f ca="1">'II. Upgrades &amp; Downgrades'!CC53</f>
        <v>59</v>
      </c>
      <c r="W14" s="300">
        <f t="shared" ref="W14:X14" ca="1" si="4">SUM(W11:W13)</f>
        <v>52</v>
      </c>
      <c r="X14" s="300">
        <v>12</v>
      </c>
    </row>
    <row r="15" spans="3:24" x14ac:dyDescent="0.25">
      <c r="C15" s="31"/>
      <c r="D15" s="31"/>
      <c r="E15" s="31"/>
      <c r="F15" s="31"/>
      <c r="G15" s="31"/>
      <c r="H15" s="31"/>
      <c r="I15" s="31"/>
    </row>
    <row r="16" spans="3:24" x14ac:dyDescent="0.25">
      <c r="C16" s="30" t="s">
        <v>2</v>
      </c>
      <c r="D16" s="31"/>
      <c r="E16" s="31"/>
      <c r="F16" s="31"/>
      <c r="G16" s="31"/>
      <c r="H16" s="31"/>
      <c r="I16" s="31"/>
    </row>
    <row r="17" spans="3:9" x14ac:dyDescent="0.25">
      <c r="C17" s="9"/>
      <c r="D17" s="31"/>
      <c r="E17" s="31"/>
      <c r="F17" s="31"/>
      <c r="G17" s="31"/>
      <c r="H17" s="31"/>
      <c r="I17" s="31"/>
    </row>
    <row r="18" spans="3:9" x14ac:dyDescent="0.25">
      <c r="C18" s="31"/>
      <c r="D18" s="31"/>
      <c r="E18" s="31"/>
      <c r="F18" s="31"/>
      <c r="G18" s="31"/>
      <c r="H18" s="31"/>
      <c r="I18" s="31"/>
    </row>
    <row r="19" spans="3:9" x14ac:dyDescent="0.25">
      <c r="C19" s="31"/>
      <c r="D19" s="31"/>
      <c r="E19" s="31"/>
      <c r="F19" s="31"/>
      <c r="G19" s="31"/>
      <c r="H19" s="31"/>
      <c r="I19" s="31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-- 2018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Reg_Percent_2017</v>
      </c>
      <c r="G2" s="172" t="s">
        <v>353</v>
      </c>
      <c r="AJ2" s="173" t="str">
        <f>AJ4 &amp; AJ3</f>
        <v>'Credit_2018Q3'!d:d</v>
      </c>
      <c r="AK2" s="173" t="str">
        <f>AK4 &amp; AK3</f>
        <v>'Credit_2018Q3'!b1</v>
      </c>
      <c r="AL2" s="173" t="str">
        <f>AL4 &amp; AL3</f>
        <v>'Credit_2018Q3'!c1</v>
      </c>
      <c r="AQ2" s="169"/>
    </row>
    <row r="3" spans="1:61" ht="18" hidden="1" outlineLevel="1" x14ac:dyDescent="0.2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'Credit_2018Q3'!</v>
      </c>
      <c r="AK4" s="169" t="str">
        <f t="shared" ref="AK4:AL4" si="0">$AQ$5</f>
        <v>'Credit_2018Q3'!</v>
      </c>
      <c r="AL4" s="169" t="str">
        <f t="shared" si="0"/>
        <v>'Credit_2018Q3'!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(47)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354</v>
      </c>
    </row>
    <row r="6" spans="1:61" ht="28.5" customHeight="1" x14ac:dyDescent="0.25">
      <c r="A6" s="219" t="s">
        <v>217</v>
      </c>
      <c r="B6" s="220" t="s">
        <v>75</v>
      </c>
      <c r="C6" s="249" t="s">
        <v>219</v>
      </c>
      <c r="D6" s="221"/>
      <c r="E6" s="222">
        <f ca="1">INDIRECT( E3 &amp; G1 )</f>
        <v>43100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0.38297872340425532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0.1702127659574468</v>
      </c>
      <c r="N11" s="234"/>
      <c r="O11" s="215">
        <f t="shared" ca="1" si="11"/>
        <v>7</v>
      </c>
      <c r="P11" s="216">
        <f t="shared" ca="1" si="12"/>
        <v>0.20588235294117646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235</v>
      </c>
      <c r="B14" s="224" t="s">
        <v>144</v>
      </c>
      <c r="C14" s="224">
        <v>20</v>
      </c>
      <c r="D14" s="224" t="s">
        <v>236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149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19.021276595744681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8" x14ac:dyDescent="0.25">
      <c r="A15" s="223" t="s">
        <v>245</v>
      </c>
      <c r="B15" s="224" t="s">
        <v>144</v>
      </c>
      <c r="C15" s="224">
        <v>20</v>
      </c>
      <c r="D15" s="224" t="s">
        <v>246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19.085106382978722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18.970588235294116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19.384615384615383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355</v>
      </c>
      <c r="B19" s="224" t="s">
        <v>144</v>
      </c>
      <c r="C19" s="224">
        <v>20</v>
      </c>
      <c r="D19" s="224" t="s">
        <v>356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34</v>
      </c>
      <c r="AW24" s="168">
        <f>COUNTIF( AV$7:AV24, AV24 )</f>
        <v>2</v>
      </c>
      <c r="AX24" s="208">
        <f t="shared" si="22"/>
        <v>34.200000000000003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250</v>
      </c>
      <c r="B25" s="224" t="s">
        <v>145</v>
      </c>
      <c r="C25" s="224">
        <v>19</v>
      </c>
      <c r="D25" s="224" t="s">
        <v>251</v>
      </c>
      <c r="E25" s="225" t="str">
        <f t="shared" ca="1" si="8"/>
        <v>R</v>
      </c>
      <c r="F25" s="347"/>
      <c r="G25" s="348">
        <f t="shared" ca="1" si="1"/>
        <v>13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ht="13.8" x14ac:dyDescent="0.2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263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34</v>
      </c>
      <c r="AW28" s="168">
        <f>COUNTIF( AV$7:AV28, AV28 )</f>
        <v>3</v>
      </c>
      <c r="AX28" s="208">
        <f t="shared" si="22"/>
        <v>34.299999999999997</v>
      </c>
      <c r="AY28" s="168">
        <f t="shared" si="23"/>
        <v>36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34</v>
      </c>
      <c r="AW29" s="168">
        <f>COUNTIF( AV$7:AV29, AV29 )</f>
        <v>4</v>
      </c>
      <c r="AX29" s="208">
        <f t="shared" si="22"/>
        <v>34.4</v>
      </c>
      <c r="AY29" s="168">
        <f t="shared" si="23"/>
        <v>37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34</v>
      </c>
      <c r="AW32" s="168">
        <f>COUNTIF( AV$7:AV32, AV32 )</f>
        <v>6</v>
      </c>
      <c r="AX32" s="208">
        <f t="shared" si="22"/>
        <v>34.6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282</v>
      </c>
      <c r="B33" s="224" t="s">
        <v>145</v>
      </c>
      <c r="C33" s="224">
        <v>19</v>
      </c>
      <c r="D33" s="224" t="s">
        <v>283</v>
      </c>
      <c r="E33" s="225" t="str">
        <f t="shared" ca="1" si="8"/>
        <v>R</v>
      </c>
      <c r="F33" s="347"/>
      <c r="G33" s="348">
        <f t="shared" ca="1" si="1"/>
        <v>34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ht="13.8" x14ac:dyDescent="0.2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8" x14ac:dyDescent="0.25">
      <c r="A35" s="223" t="s">
        <v>290</v>
      </c>
      <c r="B35" s="224" t="s">
        <v>145</v>
      </c>
      <c r="C35" s="224">
        <v>19</v>
      </c>
      <c r="D35" s="224" t="s">
        <v>291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ht="13.8" x14ac:dyDescent="0.2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34</v>
      </c>
      <c r="AW36" s="168">
        <f>COUNTIF( AV$7:AV36, AV36 )</f>
        <v>7</v>
      </c>
      <c r="AX36" s="208">
        <f t="shared" si="22"/>
        <v>34.700000000000003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357</v>
      </c>
      <c r="B37" s="224" t="s">
        <v>145</v>
      </c>
      <c r="C37" s="224">
        <v>19</v>
      </c>
      <c r="D37" s="224" t="s">
        <v>358</v>
      </c>
      <c r="E37" s="225" t="str">
        <f t="shared" ca="1" si="8"/>
        <v>R</v>
      </c>
      <c r="F37" s="347"/>
      <c r="G37" s="348">
        <f t="shared" ca="1" si="1"/>
        <v>42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>
        <f t="shared" ca="1" si="3"/>
        <v>1</v>
      </c>
      <c r="AH37" s="169" t="str">
        <f t="shared" ca="1" si="18"/>
        <v/>
      </c>
      <c r="AJ37" s="169">
        <f t="shared" ca="1" si="19"/>
        <v>52</v>
      </c>
      <c r="AK37" s="169" t="str">
        <f t="shared" ca="1" si="20"/>
        <v>BBB-</v>
      </c>
      <c r="AL37" s="169">
        <f t="shared" ca="1" si="20"/>
        <v>17</v>
      </c>
      <c r="AM37" s="169" t="str">
        <f t="shared" ca="1" si="4"/>
        <v>Change</v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40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8" x14ac:dyDescent="0.25">
      <c r="A38" s="223" t="s">
        <v>296</v>
      </c>
      <c r="B38" s="224" t="s">
        <v>145</v>
      </c>
      <c r="C38" s="224">
        <v>19</v>
      </c>
      <c r="D38" s="224" t="s">
        <v>297</v>
      </c>
      <c r="E38" s="225" t="str">
        <f t="shared" ca="1" si="8"/>
        <v>MR</v>
      </c>
      <c r="F38" s="347"/>
      <c r="G38" s="348">
        <f t="shared" ca="1" si="1"/>
        <v>43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34</v>
      </c>
      <c r="AW38" s="168">
        <f>COUNTIF( AV$7:AV38, AV38 )</f>
        <v>8</v>
      </c>
      <c r="AX38" s="208">
        <f t="shared" si="22"/>
        <v>34.799999999999997</v>
      </c>
      <c r="AY38" s="168">
        <f t="shared" si="23"/>
        <v>41</v>
      </c>
      <c r="AZ38" s="169"/>
      <c r="BA38" s="169"/>
      <c r="BC38" s="168">
        <f t="shared" ca="1" si="24"/>
        <v>32</v>
      </c>
      <c r="BD38" s="209">
        <f t="shared" ca="1" si="6"/>
        <v>41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8" x14ac:dyDescent="0.2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45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306</v>
      </c>
      <c r="AR39" s="207" t="s">
        <v>147</v>
      </c>
      <c r="AS39" s="207">
        <v>17</v>
      </c>
      <c r="AT39" s="207" t="s">
        <v>307</v>
      </c>
      <c r="AV39" s="168">
        <f t="shared" si="21"/>
        <v>42</v>
      </c>
      <c r="AW39" s="168">
        <f>COUNTIF( AV$7:AV39, AV39 )</f>
        <v>4</v>
      </c>
      <c r="AX39" s="208">
        <f t="shared" si="22"/>
        <v>42.4</v>
      </c>
      <c r="AY39" s="168">
        <f t="shared" si="23"/>
        <v>45</v>
      </c>
      <c r="AZ39" s="169"/>
      <c r="BA39" s="169"/>
      <c r="BC39" s="168">
        <f t="shared" ca="1" si="24"/>
        <v>33</v>
      </c>
      <c r="BD39" s="209">
        <f t="shared" ca="1" si="6"/>
        <v>43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243</v>
      </c>
      <c r="B40" s="224" t="s">
        <v>146</v>
      </c>
      <c r="C40" s="224">
        <v>18</v>
      </c>
      <c r="D40" s="224" t="s">
        <v>244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8" x14ac:dyDescent="0.25">
      <c r="A41" s="223" t="s">
        <v>338</v>
      </c>
      <c r="B41" s="224" t="s">
        <v>146</v>
      </c>
      <c r="C41" s="224">
        <v>18</v>
      </c>
      <c r="D41" s="224" t="s">
        <v>341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274</v>
      </c>
      <c r="B42" s="224" t="s">
        <v>146</v>
      </c>
      <c r="C42" s="224">
        <v>18</v>
      </c>
      <c r="D42" s="224" t="s">
        <v>275</v>
      </c>
      <c r="E42" s="225" t="str">
        <f t="shared" ca="1" si="8"/>
        <v>MR</v>
      </c>
      <c r="F42" s="347"/>
      <c r="G42" s="348">
        <f t="shared" ca="1" si="1"/>
        <v>25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22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8" x14ac:dyDescent="0.25">
      <c r="A43" s="223" t="s">
        <v>280</v>
      </c>
      <c r="B43" s="224" t="s">
        <v>146</v>
      </c>
      <c r="C43" s="224">
        <v>18</v>
      </c>
      <c r="D43" s="224" t="s">
        <v>281</v>
      </c>
      <c r="E43" s="225" t="str">
        <f t="shared" ca="1" si="8"/>
        <v>R</v>
      </c>
      <c r="F43" s="347"/>
      <c r="G43" s="348">
        <f t="shared" ca="1" si="1"/>
        <v>26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23</v>
      </c>
      <c r="BF43" s="173" t="str">
        <f t="shared" ca="1" si="25"/>
        <v>FirstEnergy Corp.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FE</v>
      </c>
    </row>
    <row r="44" spans="1:61" ht="13.8" x14ac:dyDescent="0.25">
      <c r="A44" s="223" t="s">
        <v>288</v>
      </c>
      <c r="B44" s="224" t="s">
        <v>146</v>
      </c>
      <c r="C44" s="224">
        <v>18</v>
      </c>
      <c r="D44" s="224" t="s">
        <v>289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8" x14ac:dyDescent="0.25">
      <c r="A45" s="223" t="s">
        <v>292</v>
      </c>
      <c r="B45" s="224" t="s">
        <v>146</v>
      </c>
      <c r="C45" s="224">
        <v>18</v>
      </c>
      <c r="D45" s="224" t="s">
        <v>293</v>
      </c>
      <c r="E45" s="225" t="str">
        <f t="shared" ca="1" si="8"/>
        <v>R</v>
      </c>
      <c r="F45" s="347"/>
      <c r="G45" s="348">
        <f t="shared" ca="1" si="1"/>
        <v>55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IPALCO Enterprises,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**IPALCO</v>
      </c>
    </row>
    <row r="46" spans="1:61" ht="13.8" x14ac:dyDescent="0.2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357</v>
      </c>
      <c r="AR46" s="207" t="s">
        <v>145</v>
      </c>
      <c r="AS46" s="207">
        <v>19</v>
      </c>
      <c r="AT46" s="207" t="s">
        <v>358</v>
      </c>
      <c r="AV46" s="168">
        <f t="shared" si="21"/>
        <v>16</v>
      </c>
      <c r="AW46" s="168">
        <f>COUNTIF( AV$7:AV46, AV46 )</f>
        <v>16</v>
      </c>
      <c r="AX46" s="208">
        <f t="shared" si="22"/>
        <v>17.600000000000001</v>
      </c>
      <c r="AY46" s="168">
        <f t="shared" si="23"/>
        <v>31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296</v>
      </c>
      <c r="AR47" s="207" t="s">
        <v>145</v>
      </c>
      <c r="AS47" s="207">
        <v>19</v>
      </c>
      <c r="AT47" s="207" t="s">
        <v>297</v>
      </c>
      <c r="AV47" s="168">
        <f t="shared" si="21"/>
        <v>16</v>
      </c>
      <c r="AW47" s="168">
        <f>COUNTIF( AV$7:AV47, AV47 )</f>
        <v>17</v>
      </c>
      <c r="AX47" s="208">
        <f t="shared" si="22"/>
        <v>17.7</v>
      </c>
      <c r="AY47" s="168">
        <f t="shared" si="23"/>
        <v>32</v>
      </c>
      <c r="AZ47" s="169"/>
      <c r="BA47" s="169"/>
      <c r="BC47" s="168">
        <f t="shared" ca="1" si="24"/>
        <v>41</v>
      </c>
      <c r="BD47" s="209">
        <f t="shared" ca="1" si="6"/>
        <v>32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259</v>
      </c>
      <c r="B48" s="224" t="s">
        <v>147</v>
      </c>
      <c r="C48" s="224">
        <v>17</v>
      </c>
      <c r="D48" s="224" t="s">
        <v>260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298</v>
      </c>
      <c r="AR48" s="207" t="s">
        <v>144</v>
      </c>
      <c r="AS48" s="207">
        <v>20</v>
      </c>
      <c r="AT48" s="207" t="s">
        <v>299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8" x14ac:dyDescent="0.25">
      <c r="A49" s="223" t="s">
        <v>264</v>
      </c>
      <c r="B49" s="224" t="s">
        <v>147</v>
      </c>
      <c r="C49" s="224">
        <v>17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300</v>
      </c>
      <c r="AR49" s="207" t="s">
        <v>145</v>
      </c>
      <c r="AS49" s="207">
        <v>19</v>
      </c>
      <c r="AT49" s="207" t="s">
        <v>301</v>
      </c>
      <c r="AV49" s="168">
        <f t="shared" si="21"/>
        <v>16</v>
      </c>
      <c r="AW49" s="168">
        <f>COUNTIF( AV$7:AV49, AV49 )</f>
        <v>18</v>
      </c>
      <c r="AX49" s="208">
        <f t="shared" si="22"/>
        <v>17.8</v>
      </c>
      <c r="AY49" s="168">
        <f t="shared" si="23"/>
        <v>33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8" x14ac:dyDescent="0.25">
      <c r="A50" s="223" t="s">
        <v>284</v>
      </c>
      <c r="B50" s="224" t="s">
        <v>147</v>
      </c>
      <c r="C50" s="224">
        <v>17</v>
      </c>
      <c r="D50" s="224" t="s">
        <v>285</v>
      </c>
      <c r="E50" s="225" t="str">
        <f t="shared" ca="1" si="8"/>
        <v>MR</v>
      </c>
      <c r="F50" s="347"/>
      <c r="G50" s="348">
        <f t="shared" ca="1" si="1"/>
        <v>27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355</v>
      </c>
      <c r="AR50" s="207" t="s">
        <v>144</v>
      </c>
      <c r="AS50" s="207">
        <v>20</v>
      </c>
      <c r="AT50" s="207" t="s">
        <v>356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ht="13.8" x14ac:dyDescent="0.25">
      <c r="A51" s="223" t="s">
        <v>306</v>
      </c>
      <c r="B51" s="224" t="s">
        <v>147</v>
      </c>
      <c r="C51" s="224">
        <v>17</v>
      </c>
      <c r="D51" s="224" t="s">
        <v>307</v>
      </c>
      <c r="E51" s="225" t="str">
        <f t="shared" ca="1" si="8"/>
        <v>R</v>
      </c>
      <c r="F51" s="347"/>
      <c r="G51" s="348">
        <f t="shared" ca="1" si="1"/>
        <v>36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>
        <f t="shared" ca="1" si="18"/>
        <v>1</v>
      </c>
      <c r="AJ51" s="169">
        <f t="shared" ca="1" si="19"/>
        <v>47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>Change</v>
      </c>
      <c r="AQ51" s="207" t="s">
        <v>252</v>
      </c>
      <c r="AR51" s="207" t="s">
        <v>144</v>
      </c>
      <c r="AS51" s="207">
        <v>20</v>
      </c>
      <c r="AT51" s="207" t="s">
        <v>253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33</v>
      </c>
      <c r="BF51" s="173" t="str">
        <f t="shared" ca="1" si="25"/>
        <v>PG&amp;E Corporation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PCG</v>
      </c>
    </row>
    <row r="52" spans="1:61" ht="13.8" x14ac:dyDescent="0.25">
      <c r="A52" s="223" t="s">
        <v>310</v>
      </c>
      <c r="B52" s="224" t="s">
        <v>147</v>
      </c>
      <c r="C52" s="224">
        <v>17</v>
      </c>
      <c r="D52" s="224" t="s">
        <v>311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256</v>
      </c>
      <c r="AR52" s="207" t="s">
        <v>144</v>
      </c>
      <c r="AS52" s="207">
        <v>20</v>
      </c>
      <c r="AT52" s="207" t="s">
        <v>257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19.085106382978722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19.021276595744681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-- 2018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Reg_Percent_2017</v>
      </c>
      <c r="G2" s="172" t="s">
        <v>353</v>
      </c>
      <c r="AJ2" s="173" t="str">
        <f>AJ4 &amp; AJ3</f>
        <v>'Credit_2018Q2'!d:d</v>
      </c>
      <c r="AK2" s="173" t="str">
        <f>AK4 &amp; AK3</f>
        <v>'Credit_2018Q2'!b1</v>
      </c>
      <c r="AL2" s="173" t="str">
        <f>AL4 &amp; AL3</f>
        <v>'Credit_2018Q2'!c1</v>
      </c>
      <c r="AQ2" s="169"/>
    </row>
    <row r="3" spans="1:61" ht="18" hidden="1" outlineLevel="1" x14ac:dyDescent="0.2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'Credit_2018Q2'!</v>
      </c>
      <c r="AK4" s="169" t="str">
        <f t="shared" ref="AK4:AL4" si="0">$AQ$5</f>
        <v>'Credit_2018Q2'!</v>
      </c>
      <c r="AL4" s="169" t="str">
        <f t="shared" si="0"/>
        <v>'Credit_2018Q2'!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(47)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359</v>
      </c>
    </row>
    <row r="6" spans="1:61" ht="28.5" customHeight="1" x14ac:dyDescent="0.25">
      <c r="A6" s="219" t="s">
        <v>217</v>
      </c>
      <c r="B6" s="220" t="s">
        <v>74</v>
      </c>
      <c r="C6" s="249" t="s">
        <v>219</v>
      </c>
      <c r="D6" s="221"/>
      <c r="E6" s="222">
        <f ca="1">INDIRECT( E3 &amp; G1 )</f>
        <v>43100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0.36170212765957449</v>
      </c>
      <c r="N10" s="234"/>
      <c r="O10" s="215">
        <f t="shared" ca="1" si="11"/>
        <v>10</v>
      </c>
      <c r="P10" s="216">
        <f t="shared" ca="1" si="12"/>
        <v>0.29411764705882354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9</v>
      </c>
      <c r="M11" s="216">
        <f t="shared" si="10"/>
        <v>0.19148936170212766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235</v>
      </c>
      <c r="B14" s="224" t="s">
        <v>144</v>
      </c>
      <c r="C14" s="224">
        <v>20</v>
      </c>
      <c r="D14" s="224" t="s">
        <v>236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149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8" x14ac:dyDescent="0.25">
      <c r="A15" s="223" t="s">
        <v>245</v>
      </c>
      <c r="B15" s="224" t="s">
        <v>144</v>
      </c>
      <c r="C15" s="224">
        <v>20</v>
      </c>
      <c r="D15" s="224" t="s">
        <v>246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19.063829787234042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18.941176470588236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19.384615384615383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355</v>
      </c>
      <c r="B19" s="224" t="s">
        <v>144</v>
      </c>
      <c r="C19" s="224">
        <v>20</v>
      </c>
      <c r="D19" s="224" t="s">
        <v>356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33</v>
      </c>
      <c r="AW24" s="168">
        <f>COUNTIF( AV$7:AV24, AV24 )</f>
        <v>2</v>
      </c>
      <c r="AX24" s="208">
        <f t="shared" si="22"/>
        <v>33.200000000000003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250</v>
      </c>
      <c r="B25" s="224" t="s">
        <v>145</v>
      </c>
      <c r="C25" s="224">
        <v>19</v>
      </c>
      <c r="D25" s="224" t="s">
        <v>251</v>
      </c>
      <c r="E25" s="225" t="str">
        <f t="shared" ca="1" si="8"/>
        <v>R</v>
      </c>
      <c r="F25" s="347"/>
      <c r="G25" s="348">
        <f t="shared" ca="1" si="1"/>
        <v>13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>
        <f t="shared" ca="1" si="3"/>
        <v>1</v>
      </c>
      <c r="AH25" s="169" t="str">
        <f t="shared" ca="1" si="18"/>
        <v/>
      </c>
      <c r="AJ25" s="169">
        <f t="shared" ca="1" si="19"/>
        <v>38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4"/>
        <v>Change</v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ht="13.8" x14ac:dyDescent="0.2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263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33</v>
      </c>
      <c r="AW28" s="168">
        <f>COUNTIF( AV$7:AV28, AV28 )</f>
        <v>3</v>
      </c>
      <c r="AX28" s="208">
        <f t="shared" si="22"/>
        <v>33.299999999999997</v>
      </c>
      <c r="AY28" s="168">
        <f t="shared" si="23"/>
        <v>35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146</v>
      </c>
      <c r="AS29" s="207">
        <v>18</v>
      </c>
      <c r="AT29" s="207" t="s">
        <v>281</v>
      </c>
      <c r="AV29" s="168">
        <f t="shared" si="21"/>
        <v>33</v>
      </c>
      <c r="AW29" s="168">
        <f>COUNTIF( AV$7:AV29, AV29 )</f>
        <v>4</v>
      </c>
      <c r="AX29" s="208">
        <f t="shared" si="22"/>
        <v>33.4</v>
      </c>
      <c r="AY29" s="168">
        <f t="shared" si="23"/>
        <v>36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282</v>
      </c>
      <c r="B33" s="224" t="s">
        <v>145</v>
      </c>
      <c r="C33" s="224">
        <v>19</v>
      </c>
      <c r="D33" s="224" t="s">
        <v>283</v>
      </c>
      <c r="E33" s="225" t="str">
        <f t="shared" ca="1" si="8"/>
        <v>R</v>
      </c>
      <c r="F33" s="347"/>
      <c r="G33" s="348">
        <f t="shared" ca="1" si="1"/>
        <v>34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ht="13.8" x14ac:dyDescent="0.2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8" x14ac:dyDescent="0.25">
      <c r="A35" s="223" t="s">
        <v>290</v>
      </c>
      <c r="B35" s="224" t="s">
        <v>145</v>
      </c>
      <c r="C35" s="224">
        <v>19</v>
      </c>
      <c r="D35" s="224" t="s">
        <v>291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8"/>
        <v/>
      </c>
      <c r="AJ35" s="169">
        <f t="shared" ca="1" si="19"/>
        <v>46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>Change</v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ht="13.8" x14ac:dyDescent="0.2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296</v>
      </c>
      <c r="B37" s="224" t="s">
        <v>145</v>
      </c>
      <c r="C37" s="224">
        <v>19</v>
      </c>
      <c r="D37" s="224" t="s">
        <v>297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8" x14ac:dyDescent="0.25">
      <c r="A38" s="223" t="s">
        <v>300</v>
      </c>
      <c r="B38" s="224" t="s">
        <v>145</v>
      </c>
      <c r="C38" s="224">
        <v>19</v>
      </c>
      <c r="D38" s="224" t="s">
        <v>301</v>
      </c>
      <c r="E38" s="225" t="str">
        <f t="shared" ca="1" si="8"/>
        <v>R</v>
      </c>
      <c r="F38" s="347"/>
      <c r="G38" s="348">
        <f t="shared" ca="1" si="1"/>
        <v>45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43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ht="13.8" x14ac:dyDescent="0.2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146</v>
      </c>
      <c r="AS39" s="207">
        <v>18</v>
      </c>
      <c r="AT39" s="207" t="s">
        <v>307</v>
      </c>
      <c r="AV39" s="168">
        <f t="shared" si="21"/>
        <v>33</v>
      </c>
      <c r="AW39" s="168">
        <f>COUNTIF( AV$7:AV39, AV39 )</f>
        <v>9</v>
      </c>
      <c r="AX39" s="208">
        <f t="shared" si="22"/>
        <v>33.9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338</v>
      </c>
      <c r="B40" s="224" t="s">
        <v>146</v>
      </c>
      <c r="C40" s="224">
        <v>18</v>
      </c>
      <c r="D40" s="224" t="s">
        <v>341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274</v>
      </c>
      <c r="B41" s="224" t="s">
        <v>146</v>
      </c>
      <c r="C41" s="224">
        <v>18</v>
      </c>
      <c r="D41" s="224" t="s">
        <v>275</v>
      </c>
      <c r="E41" s="225" t="str">
        <f t="shared" ca="1" si="8"/>
        <v>MR</v>
      </c>
      <c r="F41" s="347"/>
      <c r="G41" s="348">
        <f t="shared" ca="1" si="1"/>
        <v>25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22</v>
      </c>
      <c r="BF41" s="173" t="str">
        <f t="shared" ca="1" si="25"/>
        <v>Exelon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EXC</v>
      </c>
    </row>
    <row r="42" spans="1:61" ht="13.8" x14ac:dyDescent="0.25">
      <c r="A42" s="223" t="s">
        <v>280</v>
      </c>
      <c r="B42" s="224" t="s">
        <v>146</v>
      </c>
      <c r="C42" s="224">
        <v>18</v>
      </c>
      <c r="D42" s="224" t="s">
        <v>281</v>
      </c>
      <c r="E42" s="225" t="str">
        <f t="shared" ca="1" si="8"/>
        <v>R</v>
      </c>
      <c r="F42" s="347"/>
      <c r="G42" s="348">
        <f t="shared" ca="1" si="1"/>
        <v>26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>
        <f t="shared" ca="1" si="3"/>
        <v>1</v>
      </c>
      <c r="AH42" s="169" t="str">
        <f t="shared" ca="1" si="18"/>
        <v/>
      </c>
      <c r="AJ42" s="169">
        <f t="shared" ca="1" si="19"/>
        <v>50</v>
      </c>
      <c r="AK42" s="169" t="str">
        <f t="shared" ca="1" si="20"/>
        <v>BBB-</v>
      </c>
      <c r="AL42" s="169">
        <f t="shared" ca="1" si="20"/>
        <v>17</v>
      </c>
      <c r="AM42" s="169" t="str">
        <f t="shared" ca="1" si="4"/>
        <v>Change</v>
      </c>
      <c r="AQ42" s="207" t="s">
        <v>290</v>
      </c>
      <c r="AR42" s="207" t="s">
        <v>145</v>
      </c>
      <c r="AS42" s="207">
        <v>19</v>
      </c>
      <c r="AT42" s="207" t="s">
        <v>291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23</v>
      </c>
      <c r="BF42" s="173" t="str">
        <f t="shared" ca="1" si="25"/>
        <v>FirstEnergy Corp.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FE</v>
      </c>
    </row>
    <row r="43" spans="1:61" ht="13.8" x14ac:dyDescent="0.25">
      <c r="A43" s="223" t="s">
        <v>288</v>
      </c>
      <c r="B43" s="224" t="s">
        <v>146</v>
      </c>
      <c r="C43" s="224">
        <v>18</v>
      </c>
      <c r="D43" s="224" t="s">
        <v>289</v>
      </c>
      <c r="E43" s="225" t="str">
        <f t="shared" ca="1" si="8"/>
        <v>R</v>
      </c>
      <c r="F43" s="347"/>
      <c r="G43" s="348">
        <f t="shared" ca="1" si="1"/>
        <v>28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ht="13.8" x14ac:dyDescent="0.25">
      <c r="A44" s="223" t="s">
        <v>292</v>
      </c>
      <c r="B44" s="224" t="s">
        <v>146</v>
      </c>
      <c r="C44" s="224">
        <v>18</v>
      </c>
      <c r="D44" s="224" t="s">
        <v>293</v>
      </c>
      <c r="E44" s="225" t="str">
        <f t="shared" ca="1" si="8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ht="13.8" x14ac:dyDescent="0.2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42</v>
      </c>
      <c r="AW45" s="168">
        <f>COUNTIF( AV$7:AV45, AV45 )</f>
        <v>4</v>
      </c>
      <c r="AX45" s="208">
        <f t="shared" si="22"/>
        <v>42.4</v>
      </c>
      <c r="AY45" s="168">
        <f t="shared" si="23"/>
        <v>45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357</v>
      </c>
      <c r="AR46" s="207" t="s">
        <v>147</v>
      </c>
      <c r="AS46" s="207">
        <v>17</v>
      </c>
      <c r="AT46" s="207" t="s">
        <v>358</v>
      </c>
      <c r="AV46" s="168">
        <f t="shared" si="21"/>
        <v>42</v>
      </c>
      <c r="AW46" s="168">
        <f>COUNTIF( AV$7:AV46, AV46 )</f>
        <v>5</v>
      </c>
      <c r="AX46" s="208">
        <f t="shared" si="22"/>
        <v>42.5</v>
      </c>
      <c r="AY46" s="168">
        <f t="shared" si="23"/>
        <v>46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306</v>
      </c>
      <c r="B47" s="224" t="s">
        <v>146</v>
      </c>
      <c r="C47" s="224">
        <v>18</v>
      </c>
      <c r="D47" s="224" t="s">
        <v>307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296</v>
      </c>
      <c r="AR47" s="207" t="s">
        <v>145</v>
      </c>
      <c r="AS47" s="207">
        <v>19</v>
      </c>
      <c r="AT47" s="207" t="s">
        <v>297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8" x14ac:dyDescent="0.25">
      <c r="A48" s="223" t="s">
        <v>259</v>
      </c>
      <c r="B48" s="224" t="s">
        <v>147</v>
      </c>
      <c r="C48" s="224">
        <v>17</v>
      </c>
      <c r="D48" s="224" t="s">
        <v>260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298</v>
      </c>
      <c r="AR48" s="207" t="s">
        <v>144</v>
      </c>
      <c r="AS48" s="207">
        <v>20</v>
      </c>
      <c r="AT48" s="207" t="s">
        <v>299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8" x14ac:dyDescent="0.25">
      <c r="A49" s="223" t="s">
        <v>264</v>
      </c>
      <c r="B49" s="224" t="s">
        <v>147</v>
      </c>
      <c r="C49" s="224">
        <v>17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300</v>
      </c>
      <c r="AR49" s="207" t="s">
        <v>145</v>
      </c>
      <c r="AS49" s="207">
        <v>19</v>
      </c>
      <c r="AT49" s="207" t="s">
        <v>301</v>
      </c>
      <c r="AV49" s="168">
        <f t="shared" si="21"/>
        <v>16</v>
      </c>
      <c r="AW49" s="168">
        <f>COUNTIF( AV$7:AV49, AV49 )</f>
        <v>17</v>
      </c>
      <c r="AX49" s="208">
        <f t="shared" si="22"/>
        <v>17.7</v>
      </c>
      <c r="AY49" s="168">
        <f t="shared" si="23"/>
        <v>32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8" x14ac:dyDescent="0.25">
      <c r="A50" s="223" t="s">
        <v>284</v>
      </c>
      <c r="B50" s="224" t="s">
        <v>147</v>
      </c>
      <c r="C50" s="224">
        <v>17</v>
      </c>
      <c r="D50" s="224" t="s">
        <v>285</v>
      </c>
      <c r="E50" s="225" t="str">
        <f t="shared" ca="1" si="8"/>
        <v>MR</v>
      </c>
      <c r="F50" s="347"/>
      <c r="G50" s="348">
        <f t="shared" ca="1" si="1"/>
        <v>27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355</v>
      </c>
      <c r="AR50" s="207" t="s">
        <v>144</v>
      </c>
      <c r="AS50" s="207">
        <v>20</v>
      </c>
      <c r="AT50" s="207" t="s">
        <v>356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ht="13.8" x14ac:dyDescent="0.25">
      <c r="A51" s="223" t="s">
        <v>310</v>
      </c>
      <c r="B51" s="224" t="s">
        <v>147</v>
      </c>
      <c r="C51" s="224">
        <v>17</v>
      </c>
      <c r="D51" s="224" t="s">
        <v>311</v>
      </c>
      <c r="E51" s="225" t="str">
        <f t="shared" ca="1" si="8"/>
        <v>R</v>
      </c>
      <c r="F51" s="347"/>
      <c r="G51" s="348">
        <f t="shared" ca="1" si="1"/>
        <v>57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252</v>
      </c>
      <c r="AR51" s="207" t="s">
        <v>144</v>
      </c>
      <c r="AS51" s="207">
        <v>20</v>
      </c>
      <c r="AT51" s="207" t="s">
        <v>253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39</v>
      </c>
      <c r="BF51" s="173" t="str">
        <f t="shared" ca="1" si="25"/>
        <v>Puget Energy,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**PSD</v>
      </c>
    </row>
    <row r="52" spans="1:61" ht="13.8" x14ac:dyDescent="0.25">
      <c r="A52" s="223" t="s">
        <v>357</v>
      </c>
      <c r="B52" s="224" t="s">
        <v>147</v>
      </c>
      <c r="C52" s="224">
        <v>17</v>
      </c>
      <c r="D52" s="224" t="s">
        <v>358</v>
      </c>
      <c r="E52" s="225" t="str">
        <f t="shared" ca="1" si="8"/>
        <v>R</v>
      </c>
      <c r="F52" s="347"/>
      <c r="G52" s="348">
        <f t="shared" ca="1" si="1"/>
        <v>42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>
        <f t="shared" ca="1" si="18"/>
        <v>1</v>
      </c>
      <c r="AJ52" s="169">
        <f t="shared" ca="1" si="19"/>
        <v>47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>Change</v>
      </c>
      <c r="AQ52" s="207" t="s">
        <v>256</v>
      </c>
      <c r="AR52" s="207" t="s">
        <v>144</v>
      </c>
      <c r="AS52" s="207">
        <v>20</v>
      </c>
      <c r="AT52" s="207" t="s">
        <v>257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40</v>
      </c>
      <c r="BF52" s="173" t="str">
        <f t="shared" ca="1" si="25"/>
        <v>SCANA Corporation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SCG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19.063829787234042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19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-- 2018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Reg_Percent_2017</v>
      </c>
      <c r="G2" s="172" t="s">
        <v>353</v>
      </c>
      <c r="AJ2" s="173" t="str">
        <f>AJ4 &amp; AJ3</f>
        <v>'Credit_2018Q1'!d:d</v>
      </c>
      <c r="AK2" s="173" t="str">
        <f>AK4 &amp; AK3</f>
        <v>'Credit_2018Q1'!b1</v>
      </c>
      <c r="AL2" s="173" t="str">
        <f>AL4 &amp; AL3</f>
        <v>'Credit_2018Q1'!c1</v>
      </c>
      <c r="AQ2" s="169"/>
    </row>
    <row r="3" spans="1:61" ht="18" hidden="1" outlineLevel="1" x14ac:dyDescent="0.2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'Credit_2018Q1'!</v>
      </c>
      <c r="AK4" s="169" t="str">
        <f t="shared" ref="AK4:AL4" si="0">$AQ$5</f>
        <v>'Credit_2018Q1'!</v>
      </c>
      <c r="AL4" s="169" t="str">
        <f t="shared" si="0"/>
        <v>'Credit_2018Q1'!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(47)</v>
      </c>
      <c r="M5" s="374"/>
      <c r="N5" s="230"/>
      <c r="O5" s="372" t="str">
        <f ca="1">"Regulated" &amp; CHAR( 10 ) &amp; "(" &amp; O14 &amp; ")"</f>
        <v>Regulated
(34)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360</v>
      </c>
    </row>
    <row r="6" spans="1:61" ht="28.5" customHeight="1" x14ac:dyDescent="0.25">
      <c r="A6" s="219" t="s">
        <v>217</v>
      </c>
      <c r="B6" s="220" t="s">
        <v>73</v>
      </c>
      <c r="C6" s="249" t="s">
        <v>219</v>
      </c>
      <c r="D6" s="221"/>
      <c r="E6" s="222">
        <f ca="1">INDIRECT( E3 &amp; G1 )</f>
        <v>43100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15</v>
      </c>
      <c r="M10" s="216">
        <f t="shared" si="10"/>
        <v>0.31914893617021278</v>
      </c>
      <c r="N10" s="234"/>
      <c r="O10" s="215">
        <f t="shared" ca="1" si="11"/>
        <v>8</v>
      </c>
      <c r="P10" s="216">
        <f t="shared" ca="1" si="12"/>
        <v>0.23529411764705882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11</v>
      </c>
      <c r="M11" s="216">
        <f t="shared" si="10"/>
        <v>0.23404255319148937</v>
      </c>
      <c r="N11" s="234"/>
      <c r="O11" s="215">
        <f t="shared" ca="1" si="11"/>
        <v>10</v>
      </c>
      <c r="P11" s="216">
        <f t="shared" ca="1" si="12"/>
        <v>0.29411764705882354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11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31</v>
      </c>
      <c r="AW12" s="168">
        <f>COUNTIF( AV$7:AV12, AV12 )</f>
        <v>1</v>
      </c>
      <c r="AX12" s="208">
        <f t="shared" si="22"/>
        <v>31.1</v>
      </c>
      <c r="AY12" s="168">
        <f t="shared" si="23"/>
        <v>31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235</v>
      </c>
      <c r="B14" s="224" t="s">
        <v>144</v>
      </c>
      <c r="C14" s="224">
        <v>20</v>
      </c>
      <c r="D14" s="224" t="s">
        <v>236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149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18.957446808510639</v>
      </c>
      <c r="Z14" s="190"/>
      <c r="AA14" s="189">
        <f ca="1">SUM(AA8:AA13)</f>
        <v>47</v>
      </c>
      <c r="AE14" s="184"/>
      <c r="AF14" s="169">
        <f t="shared" si="2"/>
        <v>1</v>
      </c>
      <c r="AG14" s="169">
        <f t="shared" ca="1" si="3"/>
        <v>1</v>
      </c>
      <c r="AH14" s="169" t="str">
        <f t="shared" ca="1" si="18"/>
        <v/>
      </c>
      <c r="AJ14" s="169">
        <f t="shared" ca="1" si="19"/>
        <v>38</v>
      </c>
      <c r="AK14" s="169" t="str">
        <f t="shared" ca="1" si="20"/>
        <v>BBB+</v>
      </c>
      <c r="AL14" s="169">
        <f t="shared" ca="1" si="20"/>
        <v>19</v>
      </c>
      <c r="AM14" s="169" t="str">
        <f t="shared" ca="1" si="4"/>
        <v>Change</v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31</v>
      </c>
      <c r="AW14" s="168">
        <f>COUNTIF( AV$7:AV14, AV14 )</f>
        <v>2</v>
      </c>
      <c r="AX14" s="208">
        <f t="shared" si="22"/>
        <v>31.2</v>
      </c>
      <c r="AY14" s="168">
        <f t="shared" si="23"/>
        <v>32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8" x14ac:dyDescent="0.25">
      <c r="A15" s="223" t="s">
        <v>245</v>
      </c>
      <c r="B15" s="224" t="s">
        <v>144</v>
      </c>
      <c r="C15" s="224">
        <v>20</v>
      </c>
      <c r="D15" s="224" t="s">
        <v>246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19.021276595744681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18.882352941176471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19.384615384615383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355</v>
      </c>
      <c r="B19" s="224" t="s">
        <v>144</v>
      </c>
      <c r="C19" s="224">
        <v>20</v>
      </c>
      <c r="D19" s="224" t="s">
        <v>356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31</v>
      </c>
      <c r="AW24" s="168">
        <f>COUNTIF( AV$7:AV24, AV24 )</f>
        <v>3</v>
      </c>
      <c r="AX24" s="208">
        <f t="shared" si="22"/>
        <v>31.3</v>
      </c>
      <c r="AY24" s="168">
        <f t="shared" si="23"/>
        <v>33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144</v>
      </c>
      <c r="AS26" s="207">
        <v>20</v>
      </c>
      <c r="AT26" s="207" t="s">
        <v>236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169</v>
      </c>
      <c r="AS27" s="207">
        <v>22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31</v>
      </c>
      <c r="AW28" s="168">
        <f>COUNTIF( AV$7:AV28, AV28 )</f>
        <v>4</v>
      </c>
      <c r="AX28" s="208">
        <f t="shared" si="22"/>
        <v>31.4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42</v>
      </c>
      <c r="AW29" s="168">
        <f>COUNTIF( AV$7:AV29, AV29 )</f>
        <v>3</v>
      </c>
      <c r="AX29" s="208">
        <f t="shared" si="22"/>
        <v>42.3</v>
      </c>
      <c r="AY29" s="168">
        <f t="shared" si="23"/>
        <v>44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276</v>
      </c>
      <c r="B30" s="224" t="s">
        <v>145</v>
      </c>
      <c r="C30" s="224">
        <v>19</v>
      </c>
      <c r="D30" s="224" t="s">
        <v>277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42</v>
      </c>
      <c r="AW30" s="168">
        <f>COUNTIF( AV$7:AV30, AV30 )</f>
        <v>4</v>
      </c>
      <c r="AX30" s="208">
        <f t="shared" si="22"/>
        <v>42.4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278</v>
      </c>
      <c r="B31" s="224" t="s">
        <v>145</v>
      </c>
      <c r="C31" s="224">
        <v>19</v>
      </c>
      <c r="D31" s="224" t="s">
        <v>279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31</v>
      </c>
      <c r="AW31" s="168">
        <f>COUNTIF( AV$7:AV31, AV31 )</f>
        <v>5</v>
      </c>
      <c r="AX31" s="208">
        <f t="shared" si="22"/>
        <v>31.5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282</v>
      </c>
      <c r="B32" s="224" t="s">
        <v>145</v>
      </c>
      <c r="C32" s="224">
        <v>19</v>
      </c>
      <c r="D32" s="224" t="s">
        <v>283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>
        <f t="shared" ca="1" si="18"/>
        <v>1</v>
      </c>
      <c r="AJ32" s="169">
        <f t="shared" ca="1" si="19"/>
        <v>15</v>
      </c>
      <c r="AK32" s="169" t="str">
        <f t="shared" ca="1" si="20"/>
        <v>A-</v>
      </c>
      <c r="AL32" s="169">
        <f t="shared" ca="1" si="20"/>
        <v>20</v>
      </c>
      <c r="AM32" s="169" t="str">
        <f t="shared" ca="1" si="4"/>
        <v>Change</v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31</v>
      </c>
      <c r="AW32" s="168">
        <f>COUNTIF( AV$7:AV32, AV32 )</f>
        <v>6</v>
      </c>
      <c r="AX32" s="208">
        <f t="shared" si="22"/>
        <v>31.6</v>
      </c>
      <c r="AY32" s="168">
        <f t="shared" si="23"/>
        <v>36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308</v>
      </c>
      <c r="B33" s="224" t="s">
        <v>145</v>
      </c>
      <c r="C33" s="224">
        <v>19</v>
      </c>
      <c r="D33" s="224" t="s">
        <v>309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9</v>
      </c>
      <c r="AX33" s="208">
        <f t="shared" si="22"/>
        <v>16.899999999999999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294</v>
      </c>
      <c r="B34" s="224" t="s">
        <v>145</v>
      </c>
      <c r="C34" s="224">
        <v>19</v>
      </c>
      <c r="D34" s="224" t="s">
        <v>295</v>
      </c>
      <c r="E34" s="225" t="str">
        <f t="shared" ca="1" si="8"/>
        <v>MR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38</v>
      </c>
      <c r="BF34" s="173" t="str">
        <f t="shared" ca="1" si="7"/>
        <v>Public Service Enterprise Group Incorporated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PEG</v>
      </c>
    </row>
    <row r="35" spans="1:61" ht="13.8" x14ac:dyDescent="0.25">
      <c r="A35" s="223" t="s">
        <v>296</v>
      </c>
      <c r="B35" s="224" t="s">
        <v>145</v>
      </c>
      <c r="C35" s="224">
        <v>19</v>
      </c>
      <c r="D35" s="224" t="s">
        <v>297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10</v>
      </c>
      <c r="AX35" s="208">
        <f t="shared" si="22"/>
        <v>17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41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ht="13.8" x14ac:dyDescent="0.2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45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31</v>
      </c>
      <c r="AW36" s="168">
        <f>COUNTIF( AV$7:AV36, AV36 )</f>
        <v>7</v>
      </c>
      <c r="AX36" s="208">
        <f t="shared" si="22"/>
        <v>31.7</v>
      </c>
      <c r="AY36" s="168">
        <f t="shared" si="23"/>
        <v>37</v>
      </c>
      <c r="AZ36" s="169"/>
      <c r="BA36" s="169"/>
      <c r="BC36" s="168">
        <f t="shared" ca="1" si="24"/>
        <v>30</v>
      </c>
      <c r="BD36" s="209">
        <f t="shared" ca="1" si="6"/>
        <v>43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UTL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282</v>
      </c>
      <c r="AR37" s="207" t="s">
        <v>145</v>
      </c>
      <c r="AS37" s="207">
        <v>19</v>
      </c>
      <c r="AT37" s="207" t="s">
        <v>283</v>
      </c>
      <c r="AV37" s="168">
        <f t="shared" si="21"/>
        <v>16</v>
      </c>
      <c r="AW37" s="168">
        <f>COUNTIF( AV$7:AV37, AV37 )</f>
        <v>11</v>
      </c>
      <c r="AX37" s="208">
        <f t="shared" si="22"/>
        <v>17.100000000000001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6</v>
      </c>
      <c r="BF37" s="173" t="str">
        <f t="shared" ca="1" si="7"/>
        <v>Avista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AVA</v>
      </c>
    </row>
    <row r="38" spans="1:61" ht="13.8" x14ac:dyDescent="0.25">
      <c r="A38" s="223" t="s">
        <v>250</v>
      </c>
      <c r="B38" s="224" t="s">
        <v>146</v>
      </c>
      <c r="C38" s="224">
        <v>18</v>
      </c>
      <c r="D38" s="224" t="s">
        <v>251</v>
      </c>
      <c r="E38" s="225" t="str">
        <f t="shared" ca="1" si="8"/>
        <v>R</v>
      </c>
      <c r="F38" s="347"/>
      <c r="G38" s="348">
        <f t="shared" ca="1" si="1"/>
        <v>13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31</v>
      </c>
      <c r="AW38" s="168">
        <f>COUNTIF( AV$7:AV38, AV38 )</f>
        <v>8</v>
      </c>
      <c r="AX38" s="208">
        <f t="shared" si="22"/>
        <v>31.8</v>
      </c>
      <c r="AY38" s="168">
        <f t="shared" si="23"/>
        <v>38</v>
      </c>
      <c r="AZ38" s="169"/>
      <c r="BA38" s="169"/>
      <c r="BC38" s="168">
        <f t="shared" ca="1" si="24"/>
        <v>32</v>
      </c>
      <c r="BD38" s="209">
        <f t="shared" ca="1" si="6"/>
        <v>8</v>
      </c>
      <c r="BF38" s="173" t="str">
        <f t="shared" ca="1" si="7"/>
        <v>Black Hills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BKH</v>
      </c>
    </row>
    <row r="39" spans="1:61" ht="13.8" x14ac:dyDescent="0.25">
      <c r="A39" s="223" t="s">
        <v>338</v>
      </c>
      <c r="B39" s="224" t="s">
        <v>146</v>
      </c>
      <c r="C39" s="224">
        <v>18</v>
      </c>
      <c r="D39" s="224" t="s">
        <v>341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41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146</v>
      </c>
      <c r="AS39" s="207">
        <v>18</v>
      </c>
      <c r="AT39" s="207" t="s">
        <v>307</v>
      </c>
      <c r="AV39" s="168">
        <f t="shared" si="21"/>
        <v>31</v>
      </c>
      <c r="AW39" s="168">
        <f>COUNTIF( AV$7:AV39, AV39 )</f>
        <v>9</v>
      </c>
      <c r="AX39" s="208">
        <f t="shared" si="22"/>
        <v>31.9</v>
      </c>
      <c r="AY39" s="168">
        <f t="shared" si="23"/>
        <v>39</v>
      </c>
      <c r="AZ39" s="169"/>
      <c r="BA39" s="169"/>
      <c r="BC39" s="168">
        <f t="shared" ca="1" si="24"/>
        <v>33</v>
      </c>
      <c r="BD39" s="209">
        <f t="shared" ca="1" si="6"/>
        <v>18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8" x14ac:dyDescent="0.25">
      <c r="A40" s="223" t="s">
        <v>274</v>
      </c>
      <c r="B40" s="224" t="s">
        <v>146</v>
      </c>
      <c r="C40" s="224">
        <v>18</v>
      </c>
      <c r="D40" s="224" t="s">
        <v>275</v>
      </c>
      <c r="E40" s="225" t="str">
        <f t="shared" ca="1" si="8"/>
        <v>MR</v>
      </c>
      <c r="F40" s="347"/>
      <c r="G40" s="348">
        <f t="shared" ca="1" si="1"/>
        <v>25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42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22</v>
      </c>
      <c r="BF40" s="173" t="str">
        <f t="shared" ca="1" si="25"/>
        <v>Exelon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EXC</v>
      </c>
    </row>
    <row r="41" spans="1:61" ht="13.8" x14ac:dyDescent="0.25">
      <c r="A41" s="223" t="s">
        <v>288</v>
      </c>
      <c r="B41" s="224" t="s">
        <v>146</v>
      </c>
      <c r="C41" s="224">
        <v>18</v>
      </c>
      <c r="D41" s="224" t="s">
        <v>289</v>
      </c>
      <c r="E41" s="225" t="str">
        <f t="shared" ca="1" si="8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16</v>
      </c>
      <c r="AW41" s="168">
        <f>COUNTIF( AV$7:AV41, AV41 )</f>
        <v>12</v>
      </c>
      <c r="AX41" s="208">
        <f t="shared" si="22"/>
        <v>17.2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25</v>
      </c>
      <c r="BF41" s="173" t="str">
        <f t="shared" ca="1" si="25"/>
        <v>IDACORP, Inc.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IDA</v>
      </c>
    </row>
    <row r="42" spans="1:61" ht="13.8" x14ac:dyDescent="0.25">
      <c r="A42" s="223" t="s">
        <v>292</v>
      </c>
      <c r="B42" s="224" t="s">
        <v>146</v>
      </c>
      <c r="C42" s="224">
        <v>18</v>
      </c>
      <c r="D42" s="224" t="s">
        <v>293</v>
      </c>
      <c r="E42" s="225" t="str">
        <f t="shared" ca="1" si="8"/>
        <v>R</v>
      </c>
      <c r="F42" s="347"/>
      <c r="G42" s="348">
        <f t="shared" ca="1" si="1"/>
        <v>55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146</v>
      </c>
      <c r="AS42" s="207">
        <v>18</v>
      </c>
      <c r="AT42" s="207" t="s">
        <v>291</v>
      </c>
      <c r="AV42" s="168">
        <f t="shared" si="21"/>
        <v>31</v>
      </c>
      <c r="AW42" s="168">
        <f>COUNTIF( AV$7:AV42, AV42 )</f>
        <v>10</v>
      </c>
      <c r="AX42" s="208">
        <f t="shared" si="22"/>
        <v>32</v>
      </c>
      <c r="AY42" s="168">
        <f t="shared" si="23"/>
        <v>40</v>
      </c>
      <c r="AZ42" s="169"/>
      <c r="BA42" s="169"/>
      <c r="BC42" s="168">
        <f t="shared" ca="1" si="24"/>
        <v>36</v>
      </c>
      <c r="BD42" s="209">
        <f t="shared" ca="1" si="6"/>
        <v>26</v>
      </c>
      <c r="BF42" s="173" t="str">
        <f t="shared" ca="1" si="25"/>
        <v>IPALCO Enterprises,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**IPALCO</v>
      </c>
    </row>
    <row r="43" spans="1:61" ht="13.8" x14ac:dyDescent="0.2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8"/>
        <v>R</v>
      </c>
      <c r="F43" s="347"/>
      <c r="G43" s="348">
        <f t="shared" ca="1" si="1"/>
        <v>33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30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8" x14ac:dyDescent="0.2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8"/>
        <v>R</v>
      </c>
      <c r="F44" s="347"/>
      <c r="G44" s="348">
        <f t="shared" ca="1" si="1"/>
        <v>35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16</v>
      </c>
      <c r="AW44" s="168">
        <f>COUNTIF( AV$7:AV44, AV44 )</f>
        <v>13</v>
      </c>
      <c r="AX44" s="208">
        <f t="shared" si="22"/>
        <v>17.3</v>
      </c>
      <c r="AY44" s="168">
        <f t="shared" si="23"/>
        <v>28</v>
      </c>
      <c r="AZ44" s="169"/>
      <c r="BA44" s="169"/>
      <c r="BC44" s="168">
        <f t="shared" ca="1" si="24"/>
        <v>38</v>
      </c>
      <c r="BD44" s="209">
        <f t="shared" ca="1" si="6"/>
        <v>32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8" x14ac:dyDescent="0.25">
      <c r="A45" s="223" t="s">
        <v>306</v>
      </c>
      <c r="B45" s="224" t="s">
        <v>146</v>
      </c>
      <c r="C45" s="224">
        <v>18</v>
      </c>
      <c r="D45" s="224" t="s">
        <v>307</v>
      </c>
      <c r="E45" s="225" t="str">
        <f t="shared" ca="1" si="8"/>
        <v>R</v>
      </c>
      <c r="F45" s="347"/>
      <c r="G45" s="348">
        <f t="shared" ca="1" si="1"/>
        <v>36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>
        <f t="shared" ca="1" si="18"/>
        <v>1</v>
      </c>
      <c r="AJ45" s="169">
        <f t="shared" ca="1" si="19"/>
        <v>33</v>
      </c>
      <c r="AK45" s="169" t="str">
        <f t="shared" ca="1" si="20"/>
        <v>BBB+</v>
      </c>
      <c r="AL45" s="169">
        <f t="shared" ca="1" si="20"/>
        <v>19</v>
      </c>
      <c r="AM45" s="169" t="str">
        <f t="shared" ca="1" si="4"/>
        <v>Change</v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33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8" x14ac:dyDescent="0.25">
      <c r="A46" s="223" t="s">
        <v>290</v>
      </c>
      <c r="B46" s="224" t="s">
        <v>146</v>
      </c>
      <c r="C46" s="224">
        <v>18</v>
      </c>
      <c r="D46" s="224" t="s">
        <v>291</v>
      </c>
      <c r="E46" s="225" t="str">
        <f t="shared" ca="1" si="8"/>
        <v>R</v>
      </c>
      <c r="F46" s="347"/>
      <c r="G46" s="348">
        <f t="shared" ca="1" si="1"/>
        <v>39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357</v>
      </c>
      <c r="AR46" s="207" t="s">
        <v>146</v>
      </c>
      <c r="AS46" s="207">
        <v>18</v>
      </c>
      <c r="AT46" s="207" t="s">
        <v>358</v>
      </c>
      <c r="AV46" s="168">
        <f t="shared" si="21"/>
        <v>31</v>
      </c>
      <c r="AW46" s="168">
        <f>COUNTIF( AV$7:AV46, AV46 )</f>
        <v>11</v>
      </c>
      <c r="AX46" s="208">
        <f t="shared" si="22"/>
        <v>32.1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6"/>
        <v>36</v>
      </c>
      <c r="BF46" s="173" t="str">
        <f t="shared" ca="1" si="25"/>
        <v>Portland General Electric Company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POR</v>
      </c>
    </row>
    <row r="47" spans="1:61" ht="13.8" x14ac:dyDescent="0.25">
      <c r="A47" s="223" t="s">
        <v>357</v>
      </c>
      <c r="B47" s="224" t="s">
        <v>146</v>
      </c>
      <c r="C47" s="224">
        <v>18</v>
      </c>
      <c r="D47" s="224" t="s">
        <v>358</v>
      </c>
      <c r="E47" s="225" t="str">
        <f t="shared" ca="1" si="8"/>
        <v>R</v>
      </c>
      <c r="F47" s="347"/>
      <c r="G47" s="348">
        <f t="shared" ca="1" si="1"/>
        <v>42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296</v>
      </c>
      <c r="AR47" s="207" t="s">
        <v>145</v>
      </c>
      <c r="AS47" s="207">
        <v>19</v>
      </c>
      <c r="AT47" s="207" t="s">
        <v>297</v>
      </c>
      <c r="AV47" s="168">
        <f t="shared" si="21"/>
        <v>16</v>
      </c>
      <c r="AW47" s="168">
        <f>COUNTIF( AV$7:AV47, AV47 )</f>
        <v>14</v>
      </c>
      <c r="AX47" s="208">
        <f t="shared" si="22"/>
        <v>17.399999999999999</v>
      </c>
      <c r="AY47" s="168">
        <f t="shared" si="23"/>
        <v>29</v>
      </c>
      <c r="AZ47" s="169"/>
      <c r="BA47" s="169"/>
      <c r="BC47" s="168">
        <f t="shared" ca="1" si="24"/>
        <v>41</v>
      </c>
      <c r="BD47" s="209">
        <f t="shared" ca="1" si="6"/>
        <v>40</v>
      </c>
      <c r="BF47" s="173" t="str">
        <f t="shared" ca="1" si="25"/>
        <v>SCANA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SCG</v>
      </c>
    </row>
    <row r="48" spans="1:61" ht="13.8" x14ac:dyDescent="0.25">
      <c r="A48" s="223" t="s">
        <v>259</v>
      </c>
      <c r="B48" s="224" t="s">
        <v>147</v>
      </c>
      <c r="C48" s="224">
        <v>17</v>
      </c>
      <c r="D48" s="224" t="s">
        <v>260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298</v>
      </c>
      <c r="AR48" s="207" t="s">
        <v>144</v>
      </c>
      <c r="AS48" s="207">
        <v>20</v>
      </c>
      <c r="AT48" s="207" t="s">
        <v>299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8" x14ac:dyDescent="0.25">
      <c r="A49" s="223" t="s">
        <v>264</v>
      </c>
      <c r="B49" s="224" t="s">
        <v>147</v>
      </c>
      <c r="C49" s="224">
        <v>17</v>
      </c>
      <c r="D49" s="224" t="s">
        <v>265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300</v>
      </c>
      <c r="AR49" s="207" t="s">
        <v>145</v>
      </c>
      <c r="AS49" s="207">
        <v>19</v>
      </c>
      <c r="AT49" s="207" t="s">
        <v>301</v>
      </c>
      <c r="AV49" s="168">
        <f t="shared" si="21"/>
        <v>16</v>
      </c>
      <c r="AW49" s="168">
        <f>COUNTIF( AV$7:AV49, AV49 )</f>
        <v>15</v>
      </c>
      <c r="AX49" s="208">
        <f t="shared" si="22"/>
        <v>17.5</v>
      </c>
      <c r="AY49" s="168">
        <f t="shared" si="23"/>
        <v>30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8" x14ac:dyDescent="0.2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355</v>
      </c>
      <c r="AR50" s="207" t="s">
        <v>144</v>
      </c>
      <c r="AS50" s="207">
        <v>20</v>
      </c>
      <c r="AT50" s="207" t="s">
        <v>356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23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252</v>
      </c>
      <c r="AR51" s="207" t="s">
        <v>144</v>
      </c>
      <c r="AS51" s="207">
        <v>20</v>
      </c>
      <c r="AT51" s="207" t="s">
        <v>253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310</v>
      </c>
      <c r="B52" s="224" t="s">
        <v>147</v>
      </c>
      <c r="C52" s="224">
        <v>17</v>
      </c>
      <c r="D52" s="224" t="s">
        <v>311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256</v>
      </c>
      <c r="AR52" s="207" t="s">
        <v>144</v>
      </c>
      <c r="AS52" s="207">
        <v>20</v>
      </c>
      <c r="AT52" s="207" t="s">
        <v>257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19.021276595744681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18.957446808510639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-- 2018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Reg_Percent_2017</v>
      </c>
      <c r="G2" s="172" t="s">
        <v>353</v>
      </c>
      <c r="AJ2" s="173" t="str">
        <f>AJ4 &amp; AJ3</f>
        <v>'Credit_2017Q4'!d:d</v>
      </c>
      <c r="AK2" s="173" t="str">
        <f>AK4 &amp; AK3</f>
        <v>'Credit_2017Q4'!b1</v>
      </c>
      <c r="AL2" s="173" t="str">
        <f>AL4 &amp; AL3</f>
        <v>'Credit_2017Q4'!c1</v>
      </c>
      <c r="AQ2" s="169"/>
    </row>
    <row r="3" spans="1:61" ht="18" hidden="1" outlineLevel="1" x14ac:dyDescent="0.2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'Credit_2017Q4'!</v>
      </c>
      <c r="AK4" s="169" t="str">
        <f t="shared" ref="AK4:AL4" si="0">$AQ$5</f>
        <v>'Credit_2017Q4'!</v>
      </c>
      <c r="AL4" s="169" t="str">
        <f t="shared" si="0"/>
        <v>'Credit_2017Q4'!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(48)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361</v>
      </c>
    </row>
    <row r="6" spans="1:61" ht="28.5" customHeight="1" x14ac:dyDescent="0.25">
      <c r="A6" s="219" t="s">
        <v>217</v>
      </c>
      <c r="B6" s="220" t="s">
        <v>72</v>
      </c>
      <c r="C6" s="249" t="s">
        <v>219</v>
      </c>
      <c r="D6" s="221"/>
      <c r="E6" s="222">
        <f ca="1">INDIRECT( E3 &amp; G1 )</f>
        <v>43100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6.25E-2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0.27083333333333331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0.35416666666666669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10</v>
      </c>
      <c r="M11" s="216">
        <f t="shared" si="10"/>
        <v>0.20833333333333334</v>
      </c>
      <c r="N11" s="234"/>
      <c r="O11" s="215">
        <f t="shared" ca="1" si="11"/>
        <v>9</v>
      </c>
      <c r="P11" s="216">
        <f t="shared" ca="1" si="12"/>
        <v>0.25714285714285712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10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0.10416666666666667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149</v>
      </c>
      <c r="K14" s="236"/>
      <c r="L14" s="211">
        <f>SUM(L8:L13)</f>
        <v>48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18.979166666666668</v>
      </c>
      <c r="Z14" s="190"/>
      <c r="AA14" s="189">
        <f ca="1">SUM(AA8:AA13)</f>
        <v>48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33</v>
      </c>
      <c r="AW14" s="168">
        <f>COUNTIF( AV$7:AV14, AV14 )</f>
        <v>2</v>
      </c>
      <c r="AX14" s="208">
        <f t="shared" si="22"/>
        <v>33.200000000000003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19.041666666666668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18.914285714285715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19.384615384615383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19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355</v>
      </c>
      <c r="B19" s="224" t="s">
        <v>144</v>
      </c>
      <c r="C19" s="224">
        <v>20</v>
      </c>
      <c r="D19" s="224" t="s">
        <v>356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20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21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147</v>
      </c>
      <c r="AS20" s="207">
        <v>17</v>
      </c>
      <c r="AT20" s="207" t="s">
        <v>265</v>
      </c>
      <c r="AV20" s="168">
        <f t="shared" si="21"/>
        <v>43</v>
      </c>
      <c r="AW20" s="168">
        <f>COUNTIF( AV$7:AV20, AV20 )</f>
        <v>2</v>
      </c>
      <c r="AX20" s="208">
        <f t="shared" si="22"/>
        <v>43.2</v>
      </c>
      <c r="AY20" s="168">
        <f t="shared" si="23"/>
        <v>44</v>
      </c>
      <c r="AZ20" s="169"/>
      <c r="BA20" s="169"/>
      <c r="BC20" s="168">
        <f t="shared" ca="1" si="24"/>
        <v>14</v>
      </c>
      <c r="BD20" s="209">
        <f t="shared" ca="1" si="6"/>
        <v>46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33</v>
      </c>
      <c r="AW24" s="168">
        <f>COUNTIF( AV$7:AV24, AV24 )</f>
        <v>3</v>
      </c>
      <c r="AX24" s="208">
        <f t="shared" si="22"/>
        <v>33.299999999999997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263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169</v>
      </c>
      <c r="AS26" s="207">
        <v>22</v>
      </c>
      <c r="AT26" s="207" t="s">
        <v>241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33</v>
      </c>
      <c r="AW27" s="168">
        <f>COUNTIF( AV$7:AV27, AV27 )</f>
        <v>4</v>
      </c>
      <c r="AX27" s="208">
        <f t="shared" si="22"/>
        <v>33.4</v>
      </c>
      <c r="AY27" s="168">
        <f t="shared" si="23"/>
        <v>36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3</v>
      </c>
      <c r="AX28" s="208">
        <f t="shared" si="22"/>
        <v>43.3</v>
      </c>
      <c r="AY28" s="168">
        <f t="shared" si="23"/>
        <v>45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362</v>
      </c>
      <c r="B30" s="224" t="s">
        <v>145</v>
      </c>
      <c r="C30" s="224">
        <v>19</v>
      </c>
      <c r="D30" s="224" t="s">
        <v>363</v>
      </c>
      <c r="E30" s="225" t="str">
        <f t="shared" ca="1" si="8"/>
        <v>R</v>
      </c>
      <c r="F30" s="347"/>
      <c r="G30" s="348">
        <f t="shared" ca="1" si="1"/>
        <v>50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4</v>
      </c>
      <c r="AX30" s="208">
        <f t="shared" si="22"/>
        <v>43.4</v>
      </c>
      <c r="AY30" s="168">
        <f t="shared" si="23"/>
        <v>46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8" x14ac:dyDescent="0.2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146</v>
      </c>
      <c r="AS32" s="207">
        <v>18</v>
      </c>
      <c r="AT32" s="207" t="s">
        <v>293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306</v>
      </c>
      <c r="B33" s="224" t="s">
        <v>145</v>
      </c>
      <c r="C33" s="224">
        <v>19</v>
      </c>
      <c r="D33" s="224" t="s">
        <v>307</v>
      </c>
      <c r="E33" s="225" t="str">
        <f t="shared" ca="1" si="8"/>
        <v>R</v>
      </c>
      <c r="F33" s="347"/>
      <c r="G33" s="348">
        <f t="shared" ca="1" si="1"/>
        <v>36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8"/>
        <v>1</v>
      </c>
      <c r="AJ33" s="169">
        <f t="shared" ca="1" si="19"/>
        <v>16</v>
      </c>
      <c r="AK33" s="169" t="str">
        <f t="shared" ca="1" si="20"/>
        <v>A-</v>
      </c>
      <c r="AL33" s="169">
        <f t="shared" ca="1" si="20"/>
        <v>20</v>
      </c>
      <c r="AM33" s="169" t="str">
        <f t="shared" ca="1" si="4"/>
        <v>Change</v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33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8" x14ac:dyDescent="0.2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8" x14ac:dyDescent="0.2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296</v>
      </c>
      <c r="B36" s="224" t="s">
        <v>145</v>
      </c>
      <c r="C36" s="224">
        <v>19</v>
      </c>
      <c r="D36" s="224" t="s">
        <v>297</v>
      </c>
      <c r="E36" s="225" t="str">
        <f t="shared" ca="1" si="8"/>
        <v>MR</v>
      </c>
      <c r="F36" s="347"/>
      <c r="G36" s="348">
        <f t="shared" ca="1" si="1"/>
        <v>43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43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343" t="s">
        <v>364</v>
      </c>
      <c r="B38" s="344" t="s">
        <v>145</v>
      </c>
      <c r="C38" s="344">
        <v>19</v>
      </c>
      <c r="D38" s="319" t="s">
        <v>236</v>
      </c>
      <c r="E38" s="345" t="str">
        <f t="shared" ca="1" si="8"/>
        <v>R</v>
      </c>
      <c r="F38" s="347"/>
      <c r="G38" s="348">
        <f t="shared" ca="1" si="1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>
        <f t="shared" ca="1" si="18"/>
        <v>1</v>
      </c>
      <c r="AJ38" s="169" t="e">
        <f t="shared" ca="1" si="19"/>
        <v>#N/A</v>
      </c>
      <c r="AK38" s="169" t="str">
        <f t="shared" ca="1" si="20"/>
        <v/>
      </c>
      <c r="AL38" s="169" t="str">
        <f t="shared" ca="1" si="20"/>
        <v/>
      </c>
      <c r="AM38" s="169" t="str">
        <f t="shared" ca="1" si="4"/>
        <v>Change</v>
      </c>
      <c r="AQ38" s="207" t="s">
        <v>304</v>
      </c>
      <c r="AR38" s="207" t="s">
        <v>146</v>
      </c>
      <c r="AS38" s="207">
        <v>18</v>
      </c>
      <c r="AT38" s="207" t="s">
        <v>305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45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ht="13.8" x14ac:dyDescent="0.2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306</v>
      </c>
      <c r="AR39" s="207" t="s">
        <v>145</v>
      </c>
      <c r="AS39" s="207">
        <v>19</v>
      </c>
      <c r="AT39" s="207" t="s">
        <v>307</v>
      </c>
      <c r="AV39" s="168">
        <f t="shared" si="21"/>
        <v>16</v>
      </c>
      <c r="AW39" s="168">
        <f>COUNTIF( AV$7:AV39, AV39 )</f>
        <v>12</v>
      </c>
      <c r="AX39" s="208">
        <f t="shared" si="22"/>
        <v>17.2</v>
      </c>
      <c r="AY39" s="168">
        <f t="shared" si="23"/>
        <v>27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250</v>
      </c>
      <c r="B40" s="224" t="s">
        <v>146</v>
      </c>
      <c r="C40" s="224">
        <v>18</v>
      </c>
      <c r="D40" s="224" t="s">
        <v>251</v>
      </c>
      <c r="E40" s="225" t="str">
        <f t="shared" ca="1" si="8"/>
        <v>R</v>
      </c>
      <c r="F40" s="347"/>
      <c r="G40" s="348">
        <f t="shared" ca="1" si="1"/>
        <v>13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286</v>
      </c>
      <c r="AR40" s="207" t="s">
        <v>144</v>
      </c>
      <c r="AS40" s="207">
        <v>20</v>
      </c>
      <c r="AT40" s="207" t="s">
        <v>287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8" x14ac:dyDescent="0.25">
      <c r="A41" s="223" t="s">
        <v>338</v>
      </c>
      <c r="B41" s="224" t="s">
        <v>146</v>
      </c>
      <c r="C41" s="224">
        <v>18</v>
      </c>
      <c r="D41" s="224" t="s">
        <v>341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308</v>
      </c>
      <c r="AR41" s="207" t="s">
        <v>145</v>
      </c>
      <c r="AS41" s="207">
        <v>19</v>
      </c>
      <c r="AT41" s="207" t="s">
        <v>309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274</v>
      </c>
      <c r="B42" s="224" t="s">
        <v>146</v>
      </c>
      <c r="C42" s="224">
        <v>18</v>
      </c>
      <c r="D42" s="224" t="s">
        <v>275</v>
      </c>
      <c r="E42" s="225" t="str">
        <f t="shared" ca="1" si="8"/>
        <v>MR</v>
      </c>
      <c r="F42" s="347"/>
      <c r="G42" s="348">
        <f t="shared" ca="1" si="1"/>
        <v>25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290</v>
      </c>
      <c r="AR42" s="207" t="s">
        <v>146</v>
      </c>
      <c r="AS42" s="207">
        <v>18</v>
      </c>
      <c r="AT42" s="207" t="s">
        <v>291</v>
      </c>
      <c r="AV42" s="168">
        <f t="shared" si="21"/>
        <v>33</v>
      </c>
      <c r="AW42" s="168">
        <f>COUNTIF( AV$7:AV42, AV42 )</f>
        <v>9</v>
      </c>
      <c r="AX42" s="208">
        <f t="shared" si="22"/>
        <v>33.9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21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8" x14ac:dyDescent="0.25">
      <c r="A43" s="223" t="s">
        <v>288</v>
      </c>
      <c r="B43" s="224" t="s">
        <v>146</v>
      </c>
      <c r="C43" s="224">
        <v>18</v>
      </c>
      <c r="D43" s="224" t="s">
        <v>289</v>
      </c>
      <c r="E43" s="225" t="str">
        <f t="shared" ca="1" si="8"/>
        <v>R</v>
      </c>
      <c r="F43" s="347"/>
      <c r="G43" s="348">
        <f t="shared" ca="1" si="1"/>
        <v>28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248</v>
      </c>
      <c r="AR43" s="207" t="s">
        <v>144</v>
      </c>
      <c r="AS43" s="207">
        <v>20</v>
      </c>
      <c r="AT43" s="207" t="s">
        <v>249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ht="13.8" x14ac:dyDescent="0.25">
      <c r="A44" s="223" t="s">
        <v>292</v>
      </c>
      <c r="B44" s="224" t="s">
        <v>146</v>
      </c>
      <c r="C44" s="224">
        <v>18</v>
      </c>
      <c r="D44" s="224" t="s">
        <v>293</v>
      </c>
      <c r="E44" s="225" t="str">
        <f t="shared" ca="1" si="8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>
        <f t="shared" ca="1" si="3"/>
        <v>1</v>
      </c>
      <c r="AH44" s="169" t="str">
        <f t="shared" ca="1" si="18"/>
        <v/>
      </c>
      <c r="AJ44" s="169">
        <f t="shared" ca="1" si="19"/>
        <v>52</v>
      </c>
      <c r="AK44" s="169" t="str">
        <f t="shared" ca="1" si="20"/>
        <v>BBB-</v>
      </c>
      <c r="AL44" s="169">
        <f t="shared" ca="1" si="20"/>
        <v>17</v>
      </c>
      <c r="AM44" s="169" t="str">
        <f t="shared" ca="1" si="4"/>
        <v>Change</v>
      </c>
      <c r="AQ44" s="207" t="s">
        <v>294</v>
      </c>
      <c r="AR44" s="207" t="s">
        <v>145</v>
      </c>
      <c r="AS44" s="207">
        <v>19</v>
      </c>
      <c r="AT44" s="207" t="s">
        <v>295</v>
      </c>
      <c r="AV44" s="168">
        <f t="shared" si="21"/>
        <v>16</v>
      </c>
      <c r="AW44" s="168">
        <f>COUNTIF( AV$7:AV44, AV44 )</f>
        <v>14</v>
      </c>
      <c r="AX44" s="208">
        <f t="shared" si="22"/>
        <v>17.399999999999999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ht="13.8" x14ac:dyDescent="0.2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310</v>
      </c>
      <c r="AR45" s="207" t="s">
        <v>147</v>
      </c>
      <c r="AS45" s="207">
        <v>17</v>
      </c>
      <c r="AT45" s="207" t="s">
        <v>311</v>
      </c>
      <c r="AV45" s="168">
        <f t="shared" si="21"/>
        <v>43</v>
      </c>
      <c r="AW45" s="168">
        <f>COUNTIF( AV$7:AV45, AV45 )</f>
        <v>5</v>
      </c>
      <c r="AX45" s="208">
        <f t="shared" si="22"/>
        <v>43.5</v>
      </c>
      <c r="AY45" s="168">
        <f t="shared" si="23"/>
        <v>47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357</v>
      </c>
      <c r="AR46" s="207" t="s">
        <v>146</v>
      </c>
      <c r="AS46" s="207">
        <v>18</v>
      </c>
      <c r="AT46" s="207" t="s">
        <v>358</v>
      </c>
      <c r="AV46" s="168">
        <f t="shared" si="21"/>
        <v>33</v>
      </c>
      <c r="AW46" s="168">
        <f>COUNTIF( AV$7:AV46, AV46 )</f>
        <v>10</v>
      </c>
      <c r="AX46" s="208">
        <f t="shared" si="22"/>
        <v>34</v>
      </c>
      <c r="AY46" s="168">
        <f t="shared" si="23"/>
        <v>42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296</v>
      </c>
      <c r="AR47" s="207" t="s">
        <v>145</v>
      </c>
      <c r="AS47" s="207">
        <v>19</v>
      </c>
      <c r="AT47" s="207" t="s">
        <v>297</v>
      </c>
      <c r="AV47" s="168">
        <f t="shared" si="21"/>
        <v>16</v>
      </c>
      <c r="AW47" s="168">
        <f>COUNTIF( AV$7:AV47, AV47 )</f>
        <v>15</v>
      </c>
      <c r="AX47" s="208">
        <f t="shared" si="22"/>
        <v>17.5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8" x14ac:dyDescent="0.25">
      <c r="A48" s="223" t="s">
        <v>357</v>
      </c>
      <c r="B48" s="224" t="s">
        <v>146</v>
      </c>
      <c r="C48" s="224">
        <v>18</v>
      </c>
      <c r="D48" s="224" t="s">
        <v>358</v>
      </c>
      <c r="E48" s="225" t="str">
        <f t="shared" ca="1" si="8"/>
        <v>R</v>
      </c>
      <c r="F48" s="347"/>
      <c r="G48" s="348">
        <f t="shared" ca="1" si="1"/>
        <v>42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298</v>
      </c>
      <c r="AR48" s="207" t="s">
        <v>144</v>
      </c>
      <c r="AS48" s="207">
        <v>20</v>
      </c>
      <c r="AT48" s="207" t="s">
        <v>299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40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ht="13.8" x14ac:dyDescent="0.2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53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300</v>
      </c>
      <c r="AR49" s="207" t="s">
        <v>145</v>
      </c>
      <c r="AS49" s="207">
        <v>19</v>
      </c>
      <c r="AT49" s="207" t="s">
        <v>301</v>
      </c>
      <c r="AV49" s="168">
        <f t="shared" si="21"/>
        <v>16</v>
      </c>
      <c r="AW49" s="168">
        <f>COUNTIF( AV$7:AV49, AV49 )</f>
        <v>16</v>
      </c>
      <c r="AX49" s="208">
        <f t="shared" si="22"/>
        <v>17.600000000000001</v>
      </c>
      <c r="AY49" s="168">
        <f t="shared" si="23"/>
        <v>31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264</v>
      </c>
      <c r="B50" s="224" t="s">
        <v>147</v>
      </c>
      <c r="C50" s="224">
        <v>17</v>
      </c>
      <c r="D50" s="224" t="s">
        <v>265</v>
      </c>
      <c r="E50" s="225" t="str">
        <f t="shared" ca="1" si="8"/>
        <v>R</v>
      </c>
      <c r="F50" s="347"/>
      <c r="G50" s="348">
        <f t="shared" ca="1" si="1"/>
        <v>54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>
        <f t="shared" ca="1" si="3"/>
        <v>1</v>
      </c>
      <c r="AH50" s="169" t="str">
        <f t="shared" ca="1" si="18"/>
        <v/>
      </c>
      <c r="AJ50" s="169">
        <f t="shared" ca="1" si="19"/>
        <v>54</v>
      </c>
      <c r="AK50" s="169" t="str">
        <f t="shared" ca="1" si="20"/>
        <v>BB</v>
      </c>
      <c r="AL50" s="169">
        <f t="shared" ca="1" si="20"/>
        <v>15</v>
      </c>
      <c r="AM50" s="169" t="str">
        <f t="shared" ca="1" si="4"/>
        <v>Change</v>
      </c>
      <c r="AQ50" s="207" t="s">
        <v>355</v>
      </c>
      <c r="AR50" s="207" t="s">
        <v>144</v>
      </c>
      <c r="AS50" s="207">
        <v>20</v>
      </c>
      <c r="AT50" s="207" t="s">
        <v>356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14</v>
      </c>
      <c r="BF50" s="173" t="str">
        <f t="shared" ca="1" si="25"/>
        <v>DPL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**DPL</v>
      </c>
    </row>
    <row r="51" spans="1:61" ht="13.8" x14ac:dyDescent="0.2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R</v>
      </c>
      <c r="F51" s="347"/>
      <c r="G51" s="348">
        <f t="shared" ca="1" si="1"/>
        <v>26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364</v>
      </c>
      <c r="AR51" s="207" t="s">
        <v>145</v>
      </c>
      <c r="AS51" s="207">
        <v>19</v>
      </c>
      <c r="AT51" s="207" t="s">
        <v>365</v>
      </c>
      <c r="AV51" s="168">
        <f t="shared" si="21"/>
        <v>16</v>
      </c>
      <c r="AW51" s="168">
        <f>COUNTIF( AV$7:AV51, AV51 )</f>
        <v>17</v>
      </c>
      <c r="AX51" s="208">
        <f t="shared" si="22"/>
        <v>17.7</v>
      </c>
      <c r="AY51" s="168">
        <f t="shared" si="23"/>
        <v>32</v>
      </c>
      <c r="AZ51" s="169"/>
      <c r="BA51" s="169"/>
      <c r="BC51" s="168">
        <f t="shared" ca="1" si="24"/>
        <v>45</v>
      </c>
      <c r="BD51" s="209">
        <f t="shared" ca="1" si="6"/>
        <v>22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MR</v>
      </c>
      <c r="F52" s="347"/>
      <c r="G52" s="348">
        <f t="shared" ca="1" si="1"/>
        <v>27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252</v>
      </c>
      <c r="AR52" s="207" t="s">
        <v>144</v>
      </c>
      <c r="AS52" s="207">
        <v>20</v>
      </c>
      <c r="AT52" s="207" t="s">
        <v>253</v>
      </c>
      <c r="AV52" s="168">
        <f t="shared" si="21"/>
        <v>3</v>
      </c>
      <c r="AW52" s="168">
        <f>COUNTIF( AV$7:AV52, AV52 )</f>
        <v>12</v>
      </c>
      <c r="AX52" s="208">
        <f t="shared" si="22"/>
        <v>4.2</v>
      </c>
      <c r="AY52" s="168">
        <f t="shared" si="23"/>
        <v>14</v>
      </c>
      <c r="AZ52" s="169"/>
      <c r="BA52" s="169"/>
      <c r="BC52" s="168">
        <f t="shared" ca="1" si="24"/>
        <v>46</v>
      </c>
      <c r="BD52" s="209">
        <f t="shared" ca="1" si="6"/>
        <v>24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57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256</v>
      </c>
      <c r="AR53" s="207" t="s">
        <v>144</v>
      </c>
      <c r="AS53" s="207">
        <v>20</v>
      </c>
      <c r="AT53" s="207" t="s">
        <v>257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39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1</v>
      </c>
      <c r="AX54" s="208">
        <f t="shared" si="22"/>
        <v>99.1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2</v>
      </c>
      <c r="AX55" s="208">
        <f t="shared" si="22"/>
        <v>99.2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3</v>
      </c>
      <c r="AX56" s="208">
        <f t="shared" si="22"/>
        <v>99.3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4</v>
      </c>
      <c r="AX57" s="208">
        <f t="shared" si="22"/>
        <v>99.4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5</v>
      </c>
      <c r="AX58" s="208">
        <f t="shared" si="22"/>
        <v>99.5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6</v>
      </c>
      <c r="AX59" s="208">
        <f t="shared" si="22"/>
        <v>99.6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7</v>
      </c>
      <c r="AX60" s="208">
        <f t="shared" si="22"/>
        <v>99.7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8</v>
      </c>
      <c r="AX61" s="208">
        <f t="shared" si="22"/>
        <v>99.8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9</v>
      </c>
      <c r="AX62" s="208">
        <f t="shared" si="22"/>
        <v>99.9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10</v>
      </c>
      <c r="AX63" s="208">
        <f t="shared" si="22"/>
        <v>100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19.041666666666668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18.979166666666668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-- 2017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Reg_Percent_2016</v>
      </c>
      <c r="G2" s="172" t="s">
        <v>366</v>
      </c>
      <c r="AJ2" s="173" t="str">
        <f>AJ4 &amp; AJ3</f>
        <v>'Credit_2017Q3'!d:d</v>
      </c>
      <c r="AK2" s="173" t="str">
        <f>AK4 &amp; AK3</f>
        <v>'Credit_2017Q3'!b1</v>
      </c>
      <c r="AL2" s="173" t="str">
        <f>AL4 &amp; AL3</f>
        <v>'Credit_2017Q3'!c1</v>
      </c>
      <c r="AQ2" s="169"/>
    </row>
    <row r="3" spans="1:61" ht="18" hidden="1" outlineLevel="1" x14ac:dyDescent="0.2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'Credit_2017Q3'!</v>
      </c>
      <c r="AK4" s="169" t="str">
        <f t="shared" ref="AK4:AL4" si="0">$AQ$5</f>
        <v>'Credit_2017Q3'!</v>
      </c>
      <c r="AL4" s="169" t="str">
        <f t="shared" si="0"/>
        <v>'Credit_2017Q3'!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(49)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(14)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367</v>
      </c>
    </row>
    <row r="6" spans="1:61" ht="28.5" customHeight="1" x14ac:dyDescent="0.25">
      <c r="A6" s="219" t="s">
        <v>217</v>
      </c>
      <c r="B6" s="220" t="s">
        <v>71</v>
      </c>
      <c r="C6" s="249" t="s">
        <v>219</v>
      </c>
      <c r="D6" s="221"/>
      <c r="E6" s="222">
        <f ca="1">INDIRECT( E3 &amp; G1 )</f>
        <v>42735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169</v>
      </c>
      <c r="C7" s="224">
        <v>22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>Change</v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220</v>
      </c>
      <c r="B8" s="224" t="s">
        <v>171</v>
      </c>
      <c r="C8" s="224">
        <v>21</v>
      </c>
      <c r="D8" s="224" t="s">
        <v>221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58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0.34693877551020408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9</v>
      </c>
      <c r="M11" s="216">
        <f t="shared" si="10"/>
        <v>0.18367346938775511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2</v>
      </c>
      <c r="S11" s="216">
        <f t="shared" ca="1" si="14"/>
        <v>0.14285714285714285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34</v>
      </c>
      <c r="AW14" s="168">
        <f>COUNTIF( AV$7:AV14, AV14 )</f>
        <v>2</v>
      </c>
      <c r="AX14" s="208">
        <f t="shared" si="22"/>
        <v>34.200000000000003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306</v>
      </c>
      <c r="B16" s="224" t="s">
        <v>144</v>
      </c>
      <c r="C16" s="224">
        <v>20</v>
      </c>
      <c r="D16" s="224" t="s">
        <v>307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19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19.057142857142857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18.857142857142858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8" x14ac:dyDescent="0.25">
      <c r="A17" s="223" t="s">
        <v>286</v>
      </c>
      <c r="B17" s="224" t="s">
        <v>144</v>
      </c>
      <c r="C17" s="224">
        <v>20</v>
      </c>
      <c r="D17" s="224" t="s">
        <v>287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8" x14ac:dyDescent="0.25">
      <c r="A18" s="223" t="s">
        <v>248</v>
      </c>
      <c r="B18" s="224" t="s">
        <v>144</v>
      </c>
      <c r="C18" s="224">
        <v>20</v>
      </c>
      <c r="D18" s="224" t="s">
        <v>249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8" x14ac:dyDescent="0.25">
      <c r="A19" s="223" t="s">
        <v>298</v>
      </c>
      <c r="B19" s="224" t="s">
        <v>144</v>
      </c>
      <c r="C19" s="224">
        <v>20</v>
      </c>
      <c r="D19" s="224" t="s">
        <v>299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8" x14ac:dyDescent="0.25">
      <c r="A20" s="223" t="s">
        <v>355</v>
      </c>
      <c r="B20" s="224" t="s">
        <v>144</v>
      </c>
      <c r="C20" s="224">
        <v>20</v>
      </c>
      <c r="D20" s="224" t="s">
        <v>356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8" x14ac:dyDescent="0.25">
      <c r="A21" s="223" t="s">
        <v>252</v>
      </c>
      <c r="B21" s="224" t="s">
        <v>144</v>
      </c>
      <c r="C21" s="224">
        <v>20</v>
      </c>
      <c r="D21" s="224" t="s">
        <v>253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8" x14ac:dyDescent="0.25">
      <c r="A22" s="223" t="s">
        <v>256</v>
      </c>
      <c r="B22" s="224" t="s">
        <v>144</v>
      </c>
      <c r="C22" s="224">
        <v>20</v>
      </c>
      <c r="D22" s="224" t="s">
        <v>257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8" x14ac:dyDescent="0.25">
      <c r="A23" s="223" t="s">
        <v>222</v>
      </c>
      <c r="B23" s="224" t="s">
        <v>145</v>
      </c>
      <c r="C23" s="224">
        <v>19</v>
      </c>
      <c r="D23" s="224" t="s">
        <v>223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8" x14ac:dyDescent="0.25">
      <c r="A24" s="223" t="s">
        <v>230</v>
      </c>
      <c r="B24" s="224" t="s">
        <v>145</v>
      </c>
      <c r="C24" s="224">
        <v>19</v>
      </c>
      <c r="D24" s="224" t="s">
        <v>231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34</v>
      </c>
      <c r="AW24" s="168">
        <f>COUNTIF( AV$7:AV24, AV24 )</f>
        <v>3</v>
      </c>
      <c r="AX24" s="208">
        <f t="shared" si="22"/>
        <v>34.299999999999997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8" x14ac:dyDescent="0.25">
      <c r="A25" s="223" t="s">
        <v>238</v>
      </c>
      <c r="B25" s="224" t="s">
        <v>145</v>
      </c>
      <c r="C25" s="224">
        <v>19</v>
      </c>
      <c r="D25" s="224" t="s">
        <v>239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8" x14ac:dyDescent="0.2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169</v>
      </c>
      <c r="AS26" s="207">
        <v>22</v>
      </c>
      <c r="AT26" s="207" t="s">
        <v>241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263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34</v>
      </c>
      <c r="AW27" s="168">
        <f>COUNTIF( AV$7:AV27, AV27 )</f>
        <v>4</v>
      </c>
      <c r="AX27" s="208">
        <f t="shared" si="22"/>
        <v>34.4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362</v>
      </c>
      <c r="B31" s="224" t="s">
        <v>145</v>
      </c>
      <c r="C31" s="224">
        <v>19</v>
      </c>
      <c r="D31" s="224" t="s">
        <v>363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8" x14ac:dyDescent="0.25">
      <c r="A32" s="223" t="s">
        <v>276</v>
      </c>
      <c r="B32" s="224" t="s">
        <v>145</v>
      </c>
      <c r="C32" s="224">
        <v>19</v>
      </c>
      <c r="D32" s="224" t="s">
        <v>277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147</v>
      </c>
      <c r="AS32" s="207">
        <v>17</v>
      </c>
      <c r="AT32" s="207" t="s">
        <v>293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8" x14ac:dyDescent="0.25">
      <c r="A33" s="223" t="s">
        <v>278</v>
      </c>
      <c r="B33" s="224" t="s">
        <v>145</v>
      </c>
      <c r="C33" s="224">
        <v>19</v>
      </c>
      <c r="D33" s="224" t="s">
        <v>279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8" x14ac:dyDescent="0.25">
      <c r="A34" s="223" t="s">
        <v>368</v>
      </c>
      <c r="B34" s="224" t="s">
        <v>145</v>
      </c>
      <c r="C34" s="224">
        <v>19</v>
      </c>
      <c r="D34" s="224" t="s">
        <v>369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**EFH</v>
      </c>
    </row>
    <row r="35" spans="1:61" ht="13.8" x14ac:dyDescent="0.25">
      <c r="A35" s="223" t="s">
        <v>308</v>
      </c>
      <c r="B35" s="224" t="s">
        <v>145</v>
      </c>
      <c r="C35" s="224">
        <v>19</v>
      </c>
      <c r="D35" s="224" t="s">
        <v>309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8" x14ac:dyDescent="0.2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34</v>
      </c>
      <c r="AW36" s="168">
        <f>COUNTIF( AV$7:AV36, AV36 )</f>
        <v>6</v>
      </c>
      <c r="AX36" s="208">
        <f t="shared" si="22"/>
        <v>34.6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296</v>
      </c>
      <c r="B37" s="224" t="s">
        <v>145</v>
      </c>
      <c r="C37" s="224">
        <v>19</v>
      </c>
      <c r="D37" s="224" t="s">
        <v>297</v>
      </c>
      <c r="E37" s="225" t="str">
        <f t="shared" ca="1" si="8"/>
        <v>MR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8" x14ac:dyDescent="0.25">
      <c r="A38" s="223" t="s">
        <v>300</v>
      </c>
      <c r="B38" s="224" t="s">
        <v>145</v>
      </c>
      <c r="C38" s="224">
        <v>19</v>
      </c>
      <c r="D38" s="224" t="s">
        <v>301</v>
      </c>
      <c r="E38" s="225" t="str">
        <f t="shared" ca="1" si="8"/>
        <v>R</v>
      </c>
      <c r="F38" s="347"/>
      <c r="G38" s="348">
        <f t="shared" ca="1" si="1"/>
        <v>46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368</v>
      </c>
      <c r="AR38" s="207" t="s">
        <v>145</v>
      </c>
      <c r="AS38" s="207">
        <v>19</v>
      </c>
      <c r="AT38" s="207" t="s">
        <v>369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ht="13.8" x14ac:dyDescent="0.25">
      <c r="A39" s="223" t="s">
        <v>364</v>
      </c>
      <c r="B39" s="224" t="s">
        <v>145</v>
      </c>
      <c r="C39" s="224">
        <v>19</v>
      </c>
      <c r="D39" s="224" t="s">
        <v>365</v>
      </c>
      <c r="E39" s="225" t="str">
        <f t="shared" ca="1" si="8"/>
        <v>R</v>
      </c>
      <c r="F39" s="347"/>
      <c r="G39" s="348">
        <f t="shared" ca="1" si="1"/>
        <v>49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34</v>
      </c>
      <c r="AW39" s="168">
        <f>COUNTIF( AV$7:AV39, AV39 )</f>
        <v>7</v>
      </c>
      <c r="AX39" s="208">
        <f t="shared" si="22"/>
        <v>34.700000000000003</v>
      </c>
      <c r="AY39" s="168">
        <f t="shared" si="23"/>
        <v>40</v>
      </c>
      <c r="AZ39" s="169"/>
      <c r="BA39" s="169"/>
      <c r="BC39" s="168">
        <f t="shared" ca="1" si="24"/>
        <v>33</v>
      </c>
      <c r="BD39" s="209">
        <f t="shared" ca="1" si="6"/>
        <v>46</v>
      </c>
      <c r="BF39" s="173" t="str">
        <f t="shared" ref="BF39:BI63" ca="1" si="25">OFFSET( AQ$6, $BD39, 0 )</f>
        <v>Westar Energy, Inc.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WR</v>
      </c>
    </row>
    <row r="40" spans="1:61" ht="13.8" x14ac:dyDescent="0.25">
      <c r="A40" s="223" t="s">
        <v>243</v>
      </c>
      <c r="B40" s="224" t="s">
        <v>146</v>
      </c>
      <c r="C40" s="224">
        <v>18</v>
      </c>
      <c r="D40" s="224" t="s">
        <v>244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306</v>
      </c>
      <c r="AR40" s="207" t="s">
        <v>144</v>
      </c>
      <c r="AS40" s="207">
        <v>20</v>
      </c>
      <c r="AT40" s="207" t="s">
        <v>307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8" x14ac:dyDescent="0.25">
      <c r="A41" s="223" t="s">
        <v>250</v>
      </c>
      <c r="B41" s="224" t="s">
        <v>146</v>
      </c>
      <c r="C41" s="224">
        <v>18</v>
      </c>
      <c r="D41" s="224" t="s">
        <v>251</v>
      </c>
      <c r="E41" s="225" t="str">
        <f t="shared" ca="1" si="8"/>
        <v>R</v>
      </c>
      <c r="F41" s="347"/>
      <c r="G41" s="348">
        <f t="shared" ca="1" si="1"/>
        <v>13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ht="13.8" x14ac:dyDescent="0.25">
      <c r="A42" s="223" t="s">
        <v>338</v>
      </c>
      <c r="B42" s="224" t="s">
        <v>146</v>
      </c>
      <c r="C42" s="224">
        <v>18</v>
      </c>
      <c r="D42" s="224" t="s">
        <v>341</v>
      </c>
      <c r="E42" s="225" t="str">
        <f t="shared" ca="1" si="8"/>
        <v>R</v>
      </c>
      <c r="F42" s="347"/>
      <c r="G42" s="348">
        <f t="shared" ca="1" si="1"/>
        <v>21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ht="13.8" x14ac:dyDescent="0.25">
      <c r="A43" s="223" t="s">
        <v>274</v>
      </c>
      <c r="B43" s="224" t="s">
        <v>146</v>
      </c>
      <c r="C43" s="224">
        <v>18</v>
      </c>
      <c r="D43" s="224" t="s">
        <v>275</v>
      </c>
      <c r="E43" s="225" t="str">
        <f t="shared" ca="1" si="8"/>
        <v>MR</v>
      </c>
      <c r="F43" s="347"/>
      <c r="G43" s="348">
        <f t="shared" ca="1" si="1"/>
        <v>25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34</v>
      </c>
      <c r="AW43" s="168">
        <f>COUNTIF( AV$7:AV43, AV43 )</f>
        <v>8</v>
      </c>
      <c r="AX43" s="208">
        <f t="shared" si="22"/>
        <v>34.799999999999997</v>
      </c>
      <c r="AY43" s="168">
        <f t="shared" si="23"/>
        <v>41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8" x14ac:dyDescent="0.25">
      <c r="A44" s="223" t="s">
        <v>288</v>
      </c>
      <c r="B44" s="224" t="s">
        <v>146</v>
      </c>
      <c r="C44" s="224">
        <v>18</v>
      </c>
      <c r="D44" s="224" t="s">
        <v>289</v>
      </c>
      <c r="E44" s="225" t="str">
        <f t="shared" ca="1" si="8"/>
        <v>R</v>
      </c>
      <c r="F44" s="347"/>
      <c r="G44" s="348">
        <f t="shared" ca="1" si="1"/>
        <v>29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8" x14ac:dyDescent="0.2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34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36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33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8"/>
        <v>R</v>
      </c>
      <c r="F47" s="347"/>
      <c r="G47" s="348">
        <f t="shared" ca="1" si="1"/>
        <v>40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357</v>
      </c>
      <c r="AR47" s="207" t="s">
        <v>146</v>
      </c>
      <c r="AS47" s="207">
        <v>18</v>
      </c>
      <c r="AT47" s="207" t="s">
        <v>358</v>
      </c>
      <c r="AV47" s="168">
        <f t="shared" si="21"/>
        <v>34</v>
      </c>
      <c r="AW47" s="168">
        <f>COUNTIF( AV$7:AV47, AV47 )</f>
        <v>9</v>
      </c>
      <c r="AX47" s="208">
        <f t="shared" si="22"/>
        <v>34.9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6"/>
        <v>37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8" x14ac:dyDescent="0.25">
      <c r="A48" s="223" t="s">
        <v>357</v>
      </c>
      <c r="B48" s="224" t="s">
        <v>146</v>
      </c>
      <c r="C48" s="224">
        <v>18</v>
      </c>
      <c r="D48" s="224" t="s">
        <v>358</v>
      </c>
      <c r="E48" s="225" t="str">
        <f t="shared" ca="1" si="8"/>
        <v>MR</v>
      </c>
      <c r="F48" s="347"/>
      <c r="G48" s="348">
        <f t="shared" ca="1" si="1"/>
        <v>43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>
        <f t="shared" ca="1" si="18"/>
        <v>1</v>
      </c>
      <c r="AJ48" s="169">
        <f t="shared" ca="1" si="19"/>
        <v>37</v>
      </c>
      <c r="AK48" s="169" t="str">
        <f t="shared" ca="1" si="20"/>
        <v>BBB+</v>
      </c>
      <c r="AL48" s="169">
        <f t="shared" ca="1" si="20"/>
        <v>19</v>
      </c>
      <c r="AM48" s="169" t="str">
        <f t="shared" ca="1" si="4"/>
        <v>Change</v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17</v>
      </c>
      <c r="AW48" s="168">
        <f>COUNTIF( AV$7:AV48, AV48 )</f>
        <v>15</v>
      </c>
      <c r="AX48" s="208">
        <f t="shared" si="22"/>
        <v>18.5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41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ht="13.8" x14ac:dyDescent="0.2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300</v>
      </c>
      <c r="AR50" s="207" t="s">
        <v>145</v>
      </c>
      <c r="AS50" s="207">
        <v>19</v>
      </c>
      <c r="AT50" s="207" t="s">
        <v>301</v>
      </c>
      <c r="AV50" s="168">
        <f t="shared" si="21"/>
        <v>17</v>
      </c>
      <c r="AW50" s="168">
        <f>COUNTIF( AV$7:AV50, AV50 )</f>
        <v>16</v>
      </c>
      <c r="AX50" s="208">
        <f t="shared" si="22"/>
        <v>18.600000000000001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355</v>
      </c>
      <c r="AR51" s="207" t="s">
        <v>144</v>
      </c>
      <c r="AS51" s="207">
        <v>20</v>
      </c>
      <c r="AT51" s="207" t="s">
        <v>356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364</v>
      </c>
      <c r="AR52" s="207" t="s">
        <v>145</v>
      </c>
      <c r="AS52" s="207">
        <v>19</v>
      </c>
      <c r="AT52" s="207" t="s">
        <v>365</v>
      </c>
      <c r="AV52" s="168">
        <f t="shared" si="21"/>
        <v>17</v>
      </c>
      <c r="AW52" s="168">
        <f>COUNTIF( AV$7:AV52, AV52 )</f>
        <v>17</v>
      </c>
      <c r="AX52" s="208">
        <f t="shared" si="22"/>
        <v>18.7</v>
      </c>
      <c r="AY52" s="168">
        <f t="shared" si="23"/>
        <v>33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8" x14ac:dyDescent="0.2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252</v>
      </c>
      <c r="AR53" s="207" t="s">
        <v>144</v>
      </c>
      <c r="AS53" s="207">
        <v>20</v>
      </c>
      <c r="AT53" s="207" t="s">
        <v>253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264</v>
      </c>
      <c r="B54" s="224" t="s">
        <v>180</v>
      </c>
      <c r="C54" s="224">
        <v>15</v>
      </c>
      <c r="D54" s="224" t="s">
        <v>265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>Change</v>
      </c>
      <c r="AQ54" s="207" t="s">
        <v>256</v>
      </c>
      <c r="AR54" s="207" t="s">
        <v>144</v>
      </c>
      <c r="AS54" s="207">
        <v>20</v>
      </c>
      <c r="AT54" s="207" t="s">
        <v>257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</v>
      </c>
      <c r="BH54" s="173">
        <f t="shared" ca="1" si="25"/>
        <v>15</v>
      </c>
      <c r="BI54" s="173" t="str">
        <f t="shared" ca="1" si="25"/>
        <v>**DPL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18.959183673469386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-- 2017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Reg_Percent_2016</v>
      </c>
      <c r="G2" s="172" t="s">
        <v>366</v>
      </c>
      <c r="AJ2" s="173" t="str">
        <f>AJ4 &amp; AJ3</f>
        <v>'Credit_2017Q2'!d:d</v>
      </c>
      <c r="AK2" s="173" t="str">
        <f>AK4 &amp; AK3</f>
        <v>'Credit_2017Q2'!b1</v>
      </c>
      <c r="AL2" s="173" t="str">
        <f>AL4 &amp; AL3</f>
        <v>'Credit_2017Q2'!c1</v>
      </c>
      <c r="AQ2" s="169"/>
    </row>
    <row r="3" spans="1:61" ht="18" hidden="1" outlineLevel="1" x14ac:dyDescent="0.2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'Credit_2017Q2'!</v>
      </c>
      <c r="AK4" s="169" t="str">
        <f t="shared" ref="AK4:AL4" si="0">$AQ$5</f>
        <v>'Credit_2017Q2'!</v>
      </c>
      <c r="AL4" s="169" t="str">
        <f t="shared" si="0"/>
        <v>'Credit_2017Q2'!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(49)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(14)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370</v>
      </c>
    </row>
    <row r="6" spans="1:61" ht="28.5" customHeight="1" x14ac:dyDescent="0.25">
      <c r="A6" s="219" t="s">
        <v>217</v>
      </c>
      <c r="B6" s="220" t="s">
        <v>70</v>
      </c>
      <c r="C6" s="249" t="s">
        <v>219</v>
      </c>
      <c r="D6" s="221"/>
      <c r="E6" s="222">
        <f ca="1">INDIRECT( E3 &amp; G1 )</f>
        <v>42735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306</v>
      </c>
      <c r="B16" s="224" t="s">
        <v>144</v>
      </c>
      <c r="C16" s="224">
        <v>20</v>
      </c>
      <c r="D16" s="224" t="s">
        <v>307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18.979591836734695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19.028571428571428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18.857142857142858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8" x14ac:dyDescent="0.25">
      <c r="A17" s="223" t="s">
        <v>286</v>
      </c>
      <c r="B17" s="224" t="s">
        <v>144</v>
      </c>
      <c r="C17" s="224">
        <v>20</v>
      </c>
      <c r="D17" s="224" t="s">
        <v>287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8" x14ac:dyDescent="0.25">
      <c r="A18" s="223" t="s">
        <v>248</v>
      </c>
      <c r="B18" s="224" t="s">
        <v>144</v>
      </c>
      <c r="C18" s="224">
        <v>20</v>
      </c>
      <c r="D18" s="224" t="s">
        <v>249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8" x14ac:dyDescent="0.25">
      <c r="A19" s="223" t="s">
        <v>298</v>
      </c>
      <c r="B19" s="224" t="s">
        <v>144</v>
      </c>
      <c r="C19" s="224">
        <v>20</v>
      </c>
      <c r="D19" s="224" t="s">
        <v>299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8" x14ac:dyDescent="0.25">
      <c r="A20" s="223" t="s">
        <v>355</v>
      </c>
      <c r="B20" s="224" t="s">
        <v>144</v>
      </c>
      <c r="C20" s="224">
        <v>20</v>
      </c>
      <c r="D20" s="224" t="s">
        <v>356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182</v>
      </c>
      <c r="AS20" s="207">
        <v>14</v>
      </c>
      <c r="AT20" s="207" t="s">
        <v>265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8" x14ac:dyDescent="0.25">
      <c r="A21" s="223" t="s">
        <v>252</v>
      </c>
      <c r="B21" s="224" t="s">
        <v>144</v>
      </c>
      <c r="C21" s="224">
        <v>20</v>
      </c>
      <c r="D21" s="224" t="s">
        <v>253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8" x14ac:dyDescent="0.25">
      <c r="A22" s="223" t="s">
        <v>256</v>
      </c>
      <c r="B22" s="224" t="s">
        <v>144</v>
      </c>
      <c r="C22" s="224">
        <v>20</v>
      </c>
      <c r="D22" s="224" t="s">
        <v>257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8" x14ac:dyDescent="0.25">
      <c r="A23" s="223" t="s">
        <v>222</v>
      </c>
      <c r="B23" s="224" t="s">
        <v>145</v>
      </c>
      <c r="C23" s="224">
        <v>19</v>
      </c>
      <c r="D23" s="224" t="s">
        <v>223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8" x14ac:dyDescent="0.25">
      <c r="A24" s="223" t="s">
        <v>230</v>
      </c>
      <c r="B24" s="224" t="s">
        <v>145</v>
      </c>
      <c r="C24" s="224">
        <v>19</v>
      </c>
      <c r="D24" s="224" t="s">
        <v>231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8" x14ac:dyDescent="0.25">
      <c r="A25" s="223" t="s">
        <v>238</v>
      </c>
      <c r="B25" s="224" t="s">
        <v>145</v>
      </c>
      <c r="C25" s="224">
        <v>19</v>
      </c>
      <c r="D25" s="224" t="s">
        <v>239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8" x14ac:dyDescent="0.2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371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362</v>
      </c>
      <c r="B31" s="224" t="s">
        <v>145</v>
      </c>
      <c r="C31" s="224">
        <v>19</v>
      </c>
      <c r="D31" s="224" t="s">
        <v>363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8" x14ac:dyDescent="0.25">
      <c r="A32" s="223" t="s">
        <v>276</v>
      </c>
      <c r="B32" s="224" t="s">
        <v>145</v>
      </c>
      <c r="C32" s="224">
        <v>19</v>
      </c>
      <c r="D32" s="224" t="s">
        <v>277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147</v>
      </c>
      <c r="AS32" s="207">
        <v>17</v>
      </c>
      <c r="AT32" s="207" t="s">
        <v>293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8" x14ac:dyDescent="0.25">
      <c r="A33" s="223" t="s">
        <v>278</v>
      </c>
      <c r="B33" s="224" t="s">
        <v>145</v>
      </c>
      <c r="C33" s="224">
        <v>19</v>
      </c>
      <c r="D33" s="224" t="s">
        <v>279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8" x14ac:dyDescent="0.25">
      <c r="A34" s="223" t="s">
        <v>368</v>
      </c>
      <c r="B34" s="224" t="s">
        <v>145</v>
      </c>
      <c r="C34" s="224">
        <v>19</v>
      </c>
      <c r="D34" s="224" t="s">
        <v>369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ht="13.8" x14ac:dyDescent="0.25">
      <c r="A35" s="223" t="s">
        <v>308</v>
      </c>
      <c r="B35" s="224" t="s">
        <v>145</v>
      </c>
      <c r="C35" s="224">
        <v>19</v>
      </c>
      <c r="D35" s="224" t="s">
        <v>309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8" x14ac:dyDescent="0.2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357</v>
      </c>
      <c r="B37" s="224" t="s">
        <v>145</v>
      </c>
      <c r="C37" s="224">
        <v>19</v>
      </c>
      <c r="D37" s="224" t="s">
        <v>358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8" x14ac:dyDescent="0.25">
      <c r="A38" s="223" t="s">
        <v>296</v>
      </c>
      <c r="B38" s="224" t="s">
        <v>145</v>
      </c>
      <c r="C38" s="224">
        <v>19</v>
      </c>
      <c r="D38" s="224" t="s">
        <v>297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368</v>
      </c>
      <c r="AR38" s="207" t="s">
        <v>145</v>
      </c>
      <c r="AS38" s="207">
        <v>19</v>
      </c>
      <c r="AT38" s="207" t="s">
        <v>372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8" x14ac:dyDescent="0.2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364</v>
      </c>
      <c r="B40" s="224" t="s">
        <v>145</v>
      </c>
      <c r="C40" s="224">
        <v>19</v>
      </c>
      <c r="D40" s="224" t="s">
        <v>365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144</v>
      </c>
      <c r="AS40" s="207">
        <v>20</v>
      </c>
      <c r="AT40" s="207" t="s">
        <v>307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338</v>
      </c>
      <c r="B43" s="224" t="s">
        <v>146</v>
      </c>
      <c r="C43" s="224">
        <v>18</v>
      </c>
      <c r="D43" s="224" t="s">
        <v>341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357</v>
      </c>
      <c r="AR47" s="207" t="s">
        <v>145</v>
      </c>
      <c r="AS47" s="207">
        <v>19</v>
      </c>
      <c r="AT47" s="207" t="s">
        <v>358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290</v>
      </c>
      <c r="B48" s="224" t="s">
        <v>146</v>
      </c>
      <c r="C48" s="224">
        <v>18</v>
      </c>
      <c r="D48" s="224" t="s">
        <v>291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8" x14ac:dyDescent="0.2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300</v>
      </c>
      <c r="AR50" s="207" t="s">
        <v>145</v>
      </c>
      <c r="AS50" s="207">
        <v>19</v>
      </c>
      <c r="AT50" s="207" t="s">
        <v>301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355</v>
      </c>
      <c r="AR51" s="207" t="s">
        <v>144</v>
      </c>
      <c r="AS51" s="207">
        <v>20</v>
      </c>
      <c r="AT51" s="207" t="s">
        <v>356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364</v>
      </c>
      <c r="AR52" s="207" t="s">
        <v>145</v>
      </c>
      <c r="AS52" s="207">
        <v>19</v>
      </c>
      <c r="AT52" s="207" t="s">
        <v>365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8" x14ac:dyDescent="0.2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252</v>
      </c>
      <c r="AR53" s="207" t="s">
        <v>144</v>
      </c>
      <c r="AS53" s="207">
        <v>20</v>
      </c>
      <c r="AT53" s="207" t="s">
        <v>253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264</v>
      </c>
      <c r="B54" s="224" t="s">
        <v>182</v>
      </c>
      <c r="C54" s="224">
        <v>14</v>
      </c>
      <c r="D54" s="224" t="s">
        <v>265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256</v>
      </c>
      <c r="AR54" s="207" t="s">
        <v>144</v>
      </c>
      <c r="AS54" s="207">
        <v>20</v>
      </c>
      <c r="AT54" s="207" t="s">
        <v>257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18.979591836734695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-- 2017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Reg_Percent_2016</v>
      </c>
      <c r="G2" s="172" t="s">
        <v>366</v>
      </c>
      <c r="AJ2" s="173" t="str">
        <f>AJ4 &amp; AJ3</f>
        <v>'Credit_2017Q1'!d:d</v>
      </c>
      <c r="AK2" s="173" t="str">
        <f>AK4 &amp; AK3</f>
        <v>'Credit_2017Q1'!b1</v>
      </c>
      <c r="AL2" s="173" t="str">
        <f>AL4 &amp; AL3</f>
        <v>'Credit_2017Q1'!c1</v>
      </c>
      <c r="AQ2" s="169"/>
    </row>
    <row r="3" spans="1:61" ht="18" hidden="1" outlineLevel="1" x14ac:dyDescent="0.2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'Credit_2017Q1'!</v>
      </c>
      <c r="AK4" s="169" t="str">
        <f t="shared" ref="AK4:AL4" si="0">$AQ$5</f>
        <v>'Credit_2017Q1'!</v>
      </c>
      <c r="AL4" s="169" t="str">
        <f t="shared" si="0"/>
        <v>'Credit_2017Q1'!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(49)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(14)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373</v>
      </c>
    </row>
    <row r="6" spans="1:61" ht="28.5" customHeight="1" x14ac:dyDescent="0.25">
      <c r="A6" s="219" t="s">
        <v>217</v>
      </c>
      <c r="B6" s="220" t="s">
        <v>69</v>
      </c>
      <c r="C6" s="249" t="s">
        <v>219</v>
      </c>
      <c r="D6" s="221"/>
      <c r="E6" s="222">
        <f ca="1">INDIRECT( E3 &amp; G1 )</f>
        <v>42735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306</v>
      </c>
      <c r="B16" s="224" t="s">
        <v>144</v>
      </c>
      <c r="C16" s="224">
        <v>20</v>
      </c>
      <c r="D16" s="224" t="s">
        <v>307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18.979591836734695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19.028571428571428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18.857142857142858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>
        <f t="shared" ca="1" si="3"/>
        <v>1</v>
      </c>
      <c r="AH16" s="169" t="str">
        <f t="shared" ca="1" si="18"/>
        <v/>
      </c>
      <c r="AJ16" s="169">
        <f t="shared" ca="1" si="19"/>
        <v>34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4"/>
        <v>Change</v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8" x14ac:dyDescent="0.25">
      <c r="A17" s="223" t="s">
        <v>286</v>
      </c>
      <c r="B17" s="224" t="s">
        <v>144</v>
      </c>
      <c r="C17" s="224">
        <v>20</v>
      </c>
      <c r="D17" s="224" t="s">
        <v>287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8" x14ac:dyDescent="0.25">
      <c r="A18" s="223" t="s">
        <v>248</v>
      </c>
      <c r="B18" s="224" t="s">
        <v>144</v>
      </c>
      <c r="C18" s="224">
        <v>20</v>
      </c>
      <c r="D18" s="224" t="s">
        <v>249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8" x14ac:dyDescent="0.25">
      <c r="A19" s="223" t="s">
        <v>298</v>
      </c>
      <c r="B19" s="224" t="s">
        <v>144</v>
      </c>
      <c r="C19" s="224">
        <v>20</v>
      </c>
      <c r="D19" s="224" t="s">
        <v>299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371</v>
      </c>
      <c r="AR19" s="207" t="s">
        <v>145</v>
      </c>
      <c r="AS19" s="207">
        <v>19</v>
      </c>
      <c r="AT19" s="207" t="s">
        <v>199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8" x14ac:dyDescent="0.25">
      <c r="A20" s="223" t="s">
        <v>355</v>
      </c>
      <c r="B20" s="224" t="s">
        <v>144</v>
      </c>
      <c r="C20" s="224">
        <v>20</v>
      </c>
      <c r="D20" s="224" t="s">
        <v>356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182</v>
      </c>
      <c r="AS20" s="207">
        <v>14</v>
      </c>
      <c r="AT20" s="207" t="s">
        <v>265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8" x14ac:dyDescent="0.25">
      <c r="A21" s="223" t="s">
        <v>252</v>
      </c>
      <c r="B21" s="224" t="s">
        <v>144</v>
      </c>
      <c r="C21" s="224">
        <v>20</v>
      </c>
      <c r="D21" s="224" t="s">
        <v>253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8" x14ac:dyDescent="0.25">
      <c r="A22" s="223" t="s">
        <v>256</v>
      </c>
      <c r="B22" s="224" t="s">
        <v>144</v>
      </c>
      <c r="C22" s="224">
        <v>20</v>
      </c>
      <c r="D22" s="224" t="s">
        <v>257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8" x14ac:dyDescent="0.25">
      <c r="A23" s="223" t="s">
        <v>222</v>
      </c>
      <c r="B23" s="224" t="s">
        <v>145</v>
      </c>
      <c r="C23" s="224">
        <v>19</v>
      </c>
      <c r="D23" s="224" t="s">
        <v>223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8" x14ac:dyDescent="0.25">
      <c r="A24" s="223" t="s">
        <v>230</v>
      </c>
      <c r="B24" s="224" t="s">
        <v>145</v>
      </c>
      <c r="C24" s="224">
        <v>19</v>
      </c>
      <c r="D24" s="224" t="s">
        <v>231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8" x14ac:dyDescent="0.25">
      <c r="A25" s="223" t="s">
        <v>238</v>
      </c>
      <c r="B25" s="224" t="s">
        <v>145</v>
      </c>
      <c r="C25" s="224">
        <v>19</v>
      </c>
      <c r="D25" s="224" t="s">
        <v>239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8" x14ac:dyDescent="0.25">
      <c r="A26" s="223" t="s">
        <v>261</v>
      </c>
      <c r="B26" s="224" t="s">
        <v>145</v>
      </c>
      <c r="C26" s="224">
        <v>19</v>
      </c>
      <c r="D26" s="224" t="s">
        <v>262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371</v>
      </c>
      <c r="B27" s="224" t="s">
        <v>145</v>
      </c>
      <c r="C27" s="224">
        <v>19</v>
      </c>
      <c r="D27" s="224" t="s">
        <v>199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Resources,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266</v>
      </c>
      <c r="B28" s="224" t="s">
        <v>145</v>
      </c>
      <c r="C28" s="224">
        <v>19</v>
      </c>
      <c r="D28" s="224" t="s">
        <v>267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270</v>
      </c>
      <c r="B29" s="224" t="s">
        <v>145</v>
      </c>
      <c r="C29" s="224">
        <v>19</v>
      </c>
      <c r="D29" s="224" t="s">
        <v>271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272</v>
      </c>
      <c r="B30" s="224" t="s">
        <v>145</v>
      </c>
      <c r="C30" s="224">
        <v>19</v>
      </c>
      <c r="D30" s="224" t="s">
        <v>273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362</v>
      </c>
      <c r="B31" s="224" t="s">
        <v>145</v>
      </c>
      <c r="C31" s="224">
        <v>19</v>
      </c>
      <c r="D31" s="224" t="s">
        <v>363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8" x14ac:dyDescent="0.25">
      <c r="A32" s="223" t="s">
        <v>276</v>
      </c>
      <c r="B32" s="224" t="s">
        <v>145</v>
      </c>
      <c r="C32" s="224">
        <v>19</v>
      </c>
      <c r="D32" s="224" t="s">
        <v>277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147</v>
      </c>
      <c r="AS32" s="207">
        <v>17</v>
      </c>
      <c r="AT32" s="207" t="s">
        <v>293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8" x14ac:dyDescent="0.25">
      <c r="A33" s="223" t="s">
        <v>278</v>
      </c>
      <c r="B33" s="224" t="s">
        <v>145</v>
      </c>
      <c r="C33" s="224">
        <v>19</v>
      </c>
      <c r="D33" s="224" t="s">
        <v>279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8" x14ac:dyDescent="0.25">
      <c r="A34" s="223" t="s">
        <v>368</v>
      </c>
      <c r="B34" s="224" t="s">
        <v>145</v>
      </c>
      <c r="C34" s="224">
        <v>19</v>
      </c>
      <c r="D34" s="224" t="s">
        <v>369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ht="13.8" x14ac:dyDescent="0.25">
      <c r="A35" s="223" t="s">
        <v>308</v>
      </c>
      <c r="B35" s="224" t="s">
        <v>145</v>
      </c>
      <c r="C35" s="224">
        <v>19</v>
      </c>
      <c r="D35" s="224" t="s">
        <v>309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8" x14ac:dyDescent="0.2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357</v>
      </c>
      <c r="B37" s="224" t="s">
        <v>145</v>
      </c>
      <c r="C37" s="224">
        <v>19</v>
      </c>
      <c r="D37" s="224" t="s">
        <v>358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8" x14ac:dyDescent="0.25">
      <c r="A38" s="223" t="s">
        <v>296</v>
      </c>
      <c r="B38" s="224" t="s">
        <v>145</v>
      </c>
      <c r="C38" s="224">
        <v>19</v>
      </c>
      <c r="D38" s="224" t="s">
        <v>297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368</v>
      </c>
      <c r="AR38" s="207" t="s">
        <v>145</v>
      </c>
      <c r="AS38" s="207">
        <v>19</v>
      </c>
      <c r="AT38" s="207" t="s">
        <v>372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8" x14ac:dyDescent="0.2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364</v>
      </c>
      <c r="B40" s="224" t="s">
        <v>145</v>
      </c>
      <c r="C40" s="224">
        <v>19</v>
      </c>
      <c r="D40" s="224" t="s">
        <v>365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144</v>
      </c>
      <c r="AS40" s="207">
        <v>20</v>
      </c>
      <c r="AT40" s="207" t="s">
        <v>307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338</v>
      </c>
      <c r="B43" s="224" t="s">
        <v>146</v>
      </c>
      <c r="C43" s="224">
        <v>18</v>
      </c>
      <c r="D43" s="224" t="s">
        <v>341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357</v>
      </c>
      <c r="AR47" s="207" t="s">
        <v>145</v>
      </c>
      <c r="AS47" s="207">
        <v>19</v>
      </c>
      <c r="AT47" s="207" t="s">
        <v>358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290</v>
      </c>
      <c r="B48" s="224" t="s">
        <v>146</v>
      </c>
      <c r="C48" s="224">
        <v>18</v>
      </c>
      <c r="D48" s="224" t="s">
        <v>291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8" x14ac:dyDescent="0.2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300</v>
      </c>
      <c r="AR50" s="207" t="s">
        <v>145</v>
      </c>
      <c r="AS50" s="207">
        <v>19</v>
      </c>
      <c r="AT50" s="207" t="s">
        <v>301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355</v>
      </c>
      <c r="AR51" s="207" t="s">
        <v>144</v>
      </c>
      <c r="AS51" s="207">
        <v>20</v>
      </c>
      <c r="AT51" s="207" t="s">
        <v>356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364</v>
      </c>
      <c r="AR52" s="207" t="s">
        <v>145</v>
      </c>
      <c r="AS52" s="207">
        <v>19</v>
      </c>
      <c r="AT52" s="207" t="s">
        <v>365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8" x14ac:dyDescent="0.2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252</v>
      </c>
      <c r="AR53" s="207" t="s">
        <v>144</v>
      </c>
      <c r="AS53" s="207">
        <v>20</v>
      </c>
      <c r="AT53" s="207" t="s">
        <v>253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264</v>
      </c>
      <c r="B54" s="224" t="s">
        <v>182</v>
      </c>
      <c r="C54" s="224">
        <v>14</v>
      </c>
      <c r="D54" s="224" t="s">
        <v>265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256</v>
      </c>
      <c r="AR54" s="207" t="s">
        <v>144</v>
      </c>
      <c r="AS54" s="207">
        <v>20</v>
      </c>
      <c r="AT54" s="207" t="s">
        <v>257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18.979591836734695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-- 2017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Reg_Percent_2016</v>
      </c>
      <c r="G2" s="172" t="s">
        <v>366</v>
      </c>
      <c r="AJ2" s="173" t="str">
        <f>AJ4 &amp; AJ3</f>
        <v>'Credit_2016Q4'!d:d</v>
      </c>
      <c r="AK2" s="173" t="str">
        <f>AK4 &amp; AK3</f>
        <v>'Credit_2016Q4'!b1</v>
      </c>
      <c r="AL2" s="173" t="str">
        <f>AL4 &amp; AL3</f>
        <v>'Credit_2016Q4'!c1</v>
      </c>
      <c r="AQ2" s="169"/>
    </row>
    <row r="3" spans="1:61" ht="18" hidden="1" outlineLevel="1" x14ac:dyDescent="0.2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'Credit_2016Q4'!</v>
      </c>
      <c r="AK4" s="169" t="str">
        <f t="shared" ref="AK4:AL4" si="0">$AQ$5</f>
        <v>'Credit_2016Q4'!</v>
      </c>
      <c r="AL4" s="169" t="str">
        <f t="shared" si="0"/>
        <v>'Credit_2016Q4'!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(49)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(14)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374</v>
      </c>
    </row>
    <row r="6" spans="1:61" ht="28.5" customHeight="1" x14ac:dyDescent="0.25">
      <c r="A6" s="219" t="s">
        <v>217</v>
      </c>
      <c r="B6" s="220" t="s">
        <v>68</v>
      </c>
      <c r="C6" s="249" t="s">
        <v>219</v>
      </c>
      <c r="D6" s="221"/>
      <c r="E6" s="222">
        <f ca="1">INDIRECT( E3 &amp; G1 )</f>
        <v>42735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0.26530612244897961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227</v>
      </c>
      <c r="B10" s="224" t="s">
        <v>144</v>
      </c>
      <c r="C10" s="224">
        <v>20</v>
      </c>
      <c r="D10" s="224" t="s">
        <v>228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145</v>
      </c>
      <c r="K10" s="234"/>
      <c r="L10" s="215">
        <f t="shared" si="9"/>
        <v>19</v>
      </c>
      <c r="M10" s="216">
        <f t="shared" si="10"/>
        <v>0.38775510204081631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19</v>
      </c>
      <c r="AE10" s="184"/>
      <c r="AF10" s="169">
        <f t="shared" si="2"/>
        <v>0</v>
      </c>
      <c r="AG10" s="169">
        <f t="shared" ca="1" si="3"/>
        <v>1</v>
      </c>
      <c r="AH10" s="169" t="str">
        <f t="shared" ca="1" si="18"/>
        <v/>
      </c>
      <c r="AJ10" s="169">
        <f t="shared" ca="1" si="19"/>
        <v>23</v>
      </c>
      <c r="AK10" s="169" t="str">
        <f t="shared" ca="1" si="20"/>
        <v>BBB+</v>
      </c>
      <c r="AL10" s="169">
        <f t="shared" ca="1" si="20"/>
        <v>19</v>
      </c>
      <c r="AM10" s="169" t="str">
        <f t="shared" ca="1" si="4"/>
        <v>Change</v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254</v>
      </c>
      <c r="B11" s="224" t="s">
        <v>144</v>
      </c>
      <c r="C11" s="224">
        <v>20</v>
      </c>
      <c r="D11" s="224" t="s">
        <v>255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146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232</v>
      </c>
      <c r="B12" s="224" t="s">
        <v>144</v>
      </c>
      <c r="C12" s="224">
        <v>20</v>
      </c>
      <c r="D12" s="224" t="s">
        <v>233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38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18.959183673469386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18.857142857142858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35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R</v>
      </c>
      <c r="F17" s="347"/>
      <c r="G17" s="348">
        <f t="shared" ca="1" si="1"/>
        <v>41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38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298</v>
      </c>
      <c r="B18" s="224" t="s">
        <v>144</v>
      </c>
      <c r="C18" s="224">
        <v>20</v>
      </c>
      <c r="D18" s="224" t="s">
        <v>299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355</v>
      </c>
      <c r="B19" s="224" t="s">
        <v>144</v>
      </c>
      <c r="C19" s="224">
        <v>20</v>
      </c>
      <c r="D19" s="224" t="s">
        <v>356</v>
      </c>
      <c r="E19" s="225" t="str">
        <f t="shared" ca="1" si="8"/>
        <v>R</v>
      </c>
      <c r="F19" s="347"/>
      <c r="G19" s="348">
        <f t="shared" ca="1" si="1"/>
        <v>47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371</v>
      </c>
      <c r="AR19" s="207" t="s">
        <v>145</v>
      </c>
      <c r="AS19" s="207">
        <v>19</v>
      </c>
      <c r="AT19" s="207" t="s">
        <v>199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45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252</v>
      </c>
      <c r="B20" s="224" t="s">
        <v>144</v>
      </c>
      <c r="C20" s="224">
        <v>20</v>
      </c>
      <c r="D20" s="224" t="s">
        <v>253</v>
      </c>
      <c r="E20" s="225" t="str">
        <f t="shared" ca="1" si="8"/>
        <v>R</v>
      </c>
      <c r="F20" s="347"/>
      <c r="G20" s="348">
        <f t="shared" ca="1" si="1"/>
        <v>48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182</v>
      </c>
      <c r="AS20" s="207">
        <v>14</v>
      </c>
      <c r="AT20" s="207" t="s">
        <v>265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47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256</v>
      </c>
      <c r="B21" s="224" t="s">
        <v>144</v>
      </c>
      <c r="C21" s="224">
        <v>20</v>
      </c>
      <c r="D21" s="224" t="s">
        <v>257</v>
      </c>
      <c r="E21" s="225" t="str">
        <f t="shared" ca="1" si="8"/>
        <v>R</v>
      </c>
      <c r="F21" s="347"/>
      <c r="G21" s="348">
        <f t="shared" ca="1" si="1"/>
        <v>50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48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222</v>
      </c>
      <c r="B22" s="224" t="s">
        <v>145</v>
      </c>
      <c r="C22" s="224">
        <v>19</v>
      </c>
      <c r="D22" s="224" t="s">
        <v>223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230</v>
      </c>
      <c r="B23" s="224" t="s">
        <v>145</v>
      </c>
      <c r="C23" s="224">
        <v>19</v>
      </c>
      <c r="D23" s="224" t="s">
        <v>231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145</v>
      </c>
      <c r="AS25" s="207">
        <v>19</v>
      </c>
      <c r="AT25" s="207" t="s">
        <v>273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371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362</v>
      </c>
      <c r="B30" s="224" t="s">
        <v>145</v>
      </c>
      <c r="C30" s="224">
        <v>19</v>
      </c>
      <c r="D30" s="224" t="s">
        <v>363</v>
      </c>
      <c r="E30" s="225" t="str">
        <f t="shared" ca="1" si="8"/>
        <v>R</v>
      </c>
      <c r="F30" s="347"/>
      <c r="G30" s="348">
        <f t="shared" ca="1" si="1"/>
        <v>27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8" x14ac:dyDescent="0.2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30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292</v>
      </c>
      <c r="AR32" s="207" t="s">
        <v>147</v>
      </c>
      <c r="AS32" s="207">
        <v>17</v>
      </c>
      <c r="AT32" s="207" t="s">
        <v>293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368</v>
      </c>
      <c r="B33" s="224" t="s">
        <v>145</v>
      </c>
      <c r="C33" s="224">
        <v>19</v>
      </c>
      <c r="D33" s="224" t="s">
        <v>369</v>
      </c>
      <c r="E33" s="225" t="str">
        <f t="shared" ca="1" si="8"/>
        <v>R</v>
      </c>
      <c r="F33" s="347"/>
      <c r="G33" s="348">
        <f t="shared" ca="1" si="1"/>
        <v>56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si="3"/>
        <v/>
      </c>
      <c r="AH33" s="169" t="str">
        <f t="shared" si="18"/>
        <v/>
      </c>
      <c r="AJ33" s="169">
        <f t="shared" ca="1" si="19"/>
        <v>62</v>
      </c>
      <c r="AK33" s="330" t="s">
        <v>145</v>
      </c>
      <c r="AL33" s="330">
        <v>19</v>
      </c>
      <c r="AM33" s="169" t="str">
        <f t="shared" si="4"/>
        <v/>
      </c>
      <c r="AQ33" s="207" t="s">
        <v>276</v>
      </c>
      <c r="AR33" s="207" t="s">
        <v>145</v>
      </c>
      <c r="AS33" s="207">
        <v>19</v>
      </c>
      <c r="AT33" s="207" t="s">
        <v>277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32</v>
      </c>
      <c r="BF33" s="173" t="str">
        <f t="shared" ca="1" si="7"/>
        <v>Oncor Electric Delivery Company LLC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**EFH</v>
      </c>
    </row>
    <row r="34" spans="1:61" ht="13.8" x14ac:dyDescent="0.25">
      <c r="A34" s="223" t="s">
        <v>306</v>
      </c>
      <c r="B34" s="224" t="s">
        <v>145</v>
      </c>
      <c r="C34" s="224">
        <v>19</v>
      </c>
      <c r="D34" s="224" t="s">
        <v>307</v>
      </c>
      <c r="E34" s="225" t="str">
        <f t="shared" ca="1" si="8"/>
        <v>R</v>
      </c>
      <c r="F34" s="347"/>
      <c r="G34" s="348">
        <f t="shared" ca="1" si="1"/>
        <v>37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245</v>
      </c>
      <c r="AR34" s="207" t="s">
        <v>144</v>
      </c>
      <c r="AS34" s="207">
        <v>20</v>
      </c>
      <c r="AT34" s="207" t="s">
        <v>246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34</v>
      </c>
      <c r="BF34" s="173" t="str">
        <f t="shared" ca="1" si="7"/>
        <v>PG&amp;E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PCG</v>
      </c>
    </row>
    <row r="35" spans="1:61" ht="13.8" x14ac:dyDescent="0.25">
      <c r="A35" s="223" t="s">
        <v>308</v>
      </c>
      <c r="B35" s="224" t="s">
        <v>145</v>
      </c>
      <c r="C35" s="224">
        <v>19</v>
      </c>
      <c r="D35" s="224" t="s">
        <v>309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278</v>
      </c>
      <c r="AR35" s="207" t="s">
        <v>145</v>
      </c>
      <c r="AS35" s="207">
        <v>19</v>
      </c>
      <c r="AT35" s="207" t="s">
        <v>279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8" x14ac:dyDescent="0.25">
      <c r="A36" s="223" t="s">
        <v>294</v>
      </c>
      <c r="B36" s="224" t="s">
        <v>145</v>
      </c>
      <c r="C36" s="224">
        <v>19</v>
      </c>
      <c r="D36" s="224" t="s">
        <v>295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302</v>
      </c>
      <c r="AR36" s="207" t="s">
        <v>146</v>
      </c>
      <c r="AS36" s="207">
        <v>18</v>
      </c>
      <c r="AT36" s="207" t="s">
        <v>303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357</v>
      </c>
      <c r="B37" s="224" t="s">
        <v>145</v>
      </c>
      <c r="C37" s="224">
        <v>19</v>
      </c>
      <c r="D37" s="224" t="s">
        <v>358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282</v>
      </c>
      <c r="AR37" s="207" t="s">
        <v>144</v>
      </c>
      <c r="AS37" s="207">
        <v>20</v>
      </c>
      <c r="AT37" s="207" t="s">
        <v>283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8" x14ac:dyDescent="0.25">
      <c r="A38" s="223" t="s">
        <v>296</v>
      </c>
      <c r="B38" s="224" t="s">
        <v>145</v>
      </c>
      <c r="C38" s="224">
        <v>19</v>
      </c>
      <c r="D38" s="224" t="s">
        <v>297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368</v>
      </c>
      <c r="AR38" s="207" t="s">
        <v>145</v>
      </c>
      <c r="AS38" s="207">
        <v>19</v>
      </c>
      <c r="AT38" s="207" t="s">
        <v>369</v>
      </c>
      <c r="AV38" s="168">
        <f t="shared" si="21"/>
        <v>16</v>
      </c>
      <c r="AW38" s="168">
        <f>COUNTIF( AV$7:AV38, AV38 )</f>
        <v>12</v>
      </c>
      <c r="AX38" s="208">
        <f t="shared" si="22"/>
        <v>17.2</v>
      </c>
      <c r="AY38" s="168">
        <f t="shared" si="23"/>
        <v>27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8" x14ac:dyDescent="0.2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364</v>
      </c>
      <c r="B40" s="224" t="s">
        <v>145</v>
      </c>
      <c r="C40" s="224">
        <v>19</v>
      </c>
      <c r="D40" s="224" t="s">
        <v>365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145</v>
      </c>
      <c r="AS40" s="207">
        <v>19</v>
      </c>
      <c r="AT40" s="207" t="s">
        <v>307</v>
      </c>
      <c r="AV40" s="168">
        <f t="shared" si="21"/>
        <v>16</v>
      </c>
      <c r="AW40" s="168">
        <f>COUNTIF( AV$7:AV40, AV40 )</f>
        <v>13</v>
      </c>
      <c r="AX40" s="208">
        <f t="shared" si="22"/>
        <v>17.3</v>
      </c>
      <c r="AY40" s="168">
        <f t="shared" si="23"/>
        <v>28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8</v>
      </c>
      <c r="AX41" s="208">
        <f t="shared" si="22"/>
        <v>3.8</v>
      </c>
      <c r="AY41" s="168">
        <f t="shared" si="23"/>
        <v>10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338</v>
      </c>
      <c r="B43" s="224" t="s">
        <v>146</v>
      </c>
      <c r="C43" s="224">
        <v>18</v>
      </c>
      <c r="D43" s="224" t="s">
        <v>341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9</v>
      </c>
      <c r="AX44" s="208">
        <f t="shared" si="22"/>
        <v>3.9</v>
      </c>
      <c r="AY44" s="168">
        <f t="shared" si="23"/>
        <v>11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16</v>
      </c>
      <c r="AW45" s="168">
        <f>COUNTIF( AV$7:AV45, AV45 )</f>
        <v>15</v>
      </c>
      <c r="AX45" s="208">
        <f t="shared" si="22"/>
        <v>17.5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357</v>
      </c>
      <c r="AR47" s="207" t="s">
        <v>145</v>
      </c>
      <c r="AS47" s="207">
        <v>19</v>
      </c>
      <c r="AT47" s="207" t="s">
        <v>358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290</v>
      </c>
      <c r="B48" s="224" t="s">
        <v>146</v>
      </c>
      <c r="C48" s="224">
        <v>18</v>
      </c>
      <c r="D48" s="224" t="s">
        <v>291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16</v>
      </c>
      <c r="AW48" s="168">
        <f>COUNTIF( AV$7:AV48, AV48 )</f>
        <v>17</v>
      </c>
      <c r="AX48" s="208">
        <f t="shared" si="22"/>
        <v>17.7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8" x14ac:dyDescent="0.25">
      <c r="A49" s="223" t="s">
        <v>259</v>
      </c>
      <c r="B49" s="224" t="s">
        <v>147</v>
      </c>
      <c r="C49" s="224">
        <v>17</v>
      </c>
      <c r="D49" s="224" t="s">
        <v>260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300</v>
      </c>
      <c r="AR50" s="207" t="s">
        <v>145</v>
      </c>
      <c r="AS50" s="207">
        <v>19</v>
      </c>
      <c r="AT50" s="207" t="s">
        <v>301</v>
      </c>
      <c r="AV50" s="168">
        <f t="shared" si="21"/>
        <v>16</v>
      </c>
      <c r="AW50" s="168">
        <f>COUNTIF( AV$7:AV50, AV50 )</f>
        <v>18</v>
      </c>
      <c r="AX50" s="208">
        <f t="shared" si="22"/>
        <v>17.8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355</v>
      </c>
      <c r="AR51" s="207" t="s">
        <v>144</v>
      </c>
      <c r="AS51" s="207">
        <v>20</v>
      </c>
      <c r="AT51" s="207" t="s">
        <v>356</v>
      </c>
      <c r="AV51" s="168">
        <f t="shared" si="21"/>
        <v>3</v>
      </c>
      <c r="AW51" s="168">
        <f>COUNTIF( AV$7:AV51, AV51 )</f>
        <v>11</v>
      </c>
      <c r="AX51" s="208">
        <f t="shared" si="22"/>
        <v>4.0999999999999996</v>
      </c>
      <c r="AY51" s="168">
        <f t="shared" si="23"/>
        <v>13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364</v>
      </c>
      <c r="AR52" s="207" t="s">
        <v>145</v>
      </c>
      <c r="AS52" s="207">
        <v>19</v>
      </c>
      <c r="AT52" s="207" t="s">
        <v>365</v>
      </c>
      <c r="AV52" s="168">
        <f t="shared" si="21"/>
        <v>16</v>
      </c>
      <c r="AW52" s="168">
        <f>COUNTIF( AV$7:AV52, AV52 )</f>
        <v>19</v>
      </c>
      <c r="AX52" s="208">
        <f t="shared" si="22"/>
        <v>17.899999999999999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8" x14ac:dyDescent="0.2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252</v>
      </c>
      <c r="AR53" s="207" t="s">
        <v>144</v>
      </c>
      <c r="AS53" s="207">
        <v>20</v>
      </c>
      <c r="AT53" s="207" t="s">
        <v>253</v>
      </c>
      <c r="AV53" s="168">
        <f t="shared" si="21"/>
        <v>3</v>
      </c>
      <c r="AW53" s="168">
        <f>COUNTIF( AV$7:AV53, AV53 )</f>
        <v>12</v>
      </c>
      <c r="AX53" s="208">
        <f t="shared" si="22"/>
        <v>4.2</v>
      </c>
      <c r="AY53" s="168">
        <f t="shared" si="23"/>
        <v>14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264</v>
      </c>
      <c r="B54" s="224" t="s">
        <v>182</v>
      </c>
      <c r="C54" s="224">
        <v>14</v>
      </c>
      <c r="D54" s="224" t="s">
        <v>265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>
        <f t="shared" ca="1" si="18"/>
        <v>1</v>
      </c>
      <c r="AJ54" s="169">
        <f t="shared" ca="1" si="19"/>
        <v>55</v>
      </c>
      <c r="AK54" s="169" t="str">
        <f t="shared" ca="1" si="20"/>
        <v>BB</v>
      </c>
      <c r="AL54" s="169">
        <f t="shared" ca="1" si="20"/>
        <v>15</v>
      </c>
      <c r="AM54" s="169" t="str">
        <f t="shared" ca="1" si="4"/>
        <v>Change</v>
      </c>
      <c r="AQ54" s="207" t="s">
        <v>256</v>
      </c>
      <c r="AR54" s="207" t="s">
        <v>144</v>
      </c>
      <c r="AS54" s="207">
        <v>20</v>
      </c>
      <c r="AT54" s="207" t="s">
        <v>257</v>
      </c>
      <c r="AV54" s="168">
        <f t="shared" si="21"/>
        <v>3</v>
      </c>
      <c r="AW54" s="168">
        <f>COUNTIF( AV$7:AV54, AV54 )</f>
        <v>13</v>
      </c>
      <c r="AX54" s="208">
        <f t="shared" si="22"/>
        <v>4.3</v>
      </c>
      <c r="AY54" s="168">
        <f t="shared" si="23"/>
        <v>15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18.959183673469386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18.959183673469386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-- 2016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Reg_Percent_2015</v>
      </c>
      <c r="G2" s="172" t="s">
        <v>375</v>
      </c>
      <c r="AJ2" s="173" t="str">
        <f>AJ4 &amp; AJ3</f>
        <v>'Credit_2016Q3'!d:d</v>
      </c>
      <c r="AK2" s="173" t="str">
        <f>AK4 &amp; AK3</f>
        <v>'Credit_2016Q3'!b1</v>
      </c>
      <c r="AL2" s="173" t="str">
        <f>AL4 &amp; AL3</f>
        <v>'Credit_2016Q3'!c1</v>
      </c>
      <c r="AQ2" s="169"/>
    </row>
    <row r="3" spans="1:61" ht="18" hidden="1" outlineLevel="1" x14ac:dyDescent="0.2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'Credit_2016Q3'!</v>
      </c>
      <c r="AK4" s="169" t="str">
        <f t="shared" ref="AK4:AL4" si="0">$AQ$5</f>
        <v>'Credit_2016Q3'!</v>
      </c>
      <c r="AL4" s="169" t="str">
        <f t="shared" si="0"/>
        <v>'Credit_2016Q3'!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(50)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(12)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376</v>
      </c>
    </row>
    <row r="6" spans="1:61" ht="28.5" customHeight="1" x14ac:dyDescent="0.25">
      <c r="A6" s="219" t="s">
        <v>217</v>
      </c>
      <c r="B6" s="220" t="s">
        <v>67</v>
      </c>
      <c r="C6" s="249" t="s">
        <v>219</v>
      </c>
      <c r="D6" s="221"/>
      <c r="E6" s="222">
        <f ca="1">INDIRECT( E3 &amp; G1 )</f>
        <v>42369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145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145</v>
      </c>
      <c r="AS10" s="207">
        <v>19</v>
      </c>
      <c r="AT10" s="207" t="s">
        <v>228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18.940000000000001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17.5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355</v>
      </c>
      <c r="B18" s="224" t="s">
        <v>144</v>
      </c>
      <c r="C18" s="224">
        <v>20</v>
      </c>
      <c r="D18" s="224" t="s">
        <v>356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371</v>
      </c>
      <c r="AR19" s="207" t="s">
        <v>145</v>
      </c>
      <c r="AS19" s="207">
        <v>19</v>
      </c>
      <c r="AT19" s="207" t="s">
        <v>199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227</v>
      </c>
      <c r="B23" s="224" t="s">
        <v>145</v>
      </c>
      <c r="C23" s="224">
        <v>19</v>
      </c>
      <c r="D23" s="224" t="s">
        <v>228</v>
      </c>
      <c r="E23" s="225" t="str">
        <f t="shared" ca="1" si="8"/>
        <v>R</v>
      </c>
      <c r="F23" s="347"/>
      <c r="G23" s="348">
        <f t="shared" ca="1" si="1"/>
        <v>10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ht="13.8" x14ac:dyDescent="0.2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16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377</v>
      </c>
      <c r="AR25" s="207" t="s">
        <v>146</v>
      </c>
      <c r="AS25" s="207">
        <v>18</v>
      </c>
      <c r="AT25" s="207" t="s">
        <v>378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371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145</v>
      </c>
      <c r="AS26" s="207">
        <v>19</v>
      </c>
      <c r="AT26" s="207" t="s">
        <v>273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R</v>
      </c>
      <c r="F27" s="347"/>
      <c r="G27" s="348">
        <f t="shared" ca="1" si="1"/>
        <v>19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362</v>
      </c>
      <c r="B30" s="224" t="s">
        <v>145</v>
      </c>
      <c r="C30" s="224">
        <v>19</v>
      </c>
      <c r="D30" s="224" t="s">
        <v>363</v>
      </c>
      <c r="E30" s="225" t="str">
        <f t="shared" ca="1" si="8"/>
        <v>R</v>
      </c>
      <c r="F30" s="347"/>
      <c r="G30" s="348">
        <f t="shared" ca="1" si="1"/>
        <v>28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362</v>
      </c>
      <c r="AR30" s="207" t="s">
        <v>145</v>
      </c>
      <c r="AS30" s="207">
        <v>19</v>
      </c>
      <c r="AT30" s="207" t="s">
        <v>363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8" x14ac:dyDescent="0.2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31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306</v>
      </c>
      <c r="B33" s="224" t="s">
        <v>145</v>
      </c>
      <c r="C33" s="224">
        <v>19</v>
      </c>
      <c r="D33" s="224" t="s">
        <v>307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8" x14ac:dyDescent="0.2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40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ht="13.8" x14ac:dyDescent="0.2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357</v>
      </c>
      <c r="B36" s="224" t="s">
        <v>145</v>
      </c>
      <c r="C36" s="224">
        <v>19</v>
      </c>
      <c r="D36" s="224" t="s">
        <v>358</v>
      </c>
      <c r="E36" s="225" t="str">
        <f t="shared" ca="1" si="8"/>
        <v>MR</v>
      </c>
      <c r="F36" s="347"/>
      <c r="G36" s="348">
        <f t="shared" ca="1" si="1"/>
        <v>44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ht="13.8" x14ac:dyDescent="0.25">
      <c r="A37" s="223" t="s">
        <v>296</v>
      </c>
      <c r="B37" s="224" t="s">
        <v>145</v>
      </c>
      <c r="C37" s="224">
        <v>19</v>
      </c>
      <c r="D37" s="224" t="s">
        <v>297</v>
      </c>
      <c r="E37" s="225" t="str">
        <f t="shared" ca="1" si="8"/>
        <v>MR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8" x14ac:dyDescent="0.25">
      <c r="A38" s="223" t="s">
        <v>379</v>
      </c>
      <c r="B38" s="224" t="s">
        <v>145</v>
      </c>
      <c r="C38" s="224">
        <v>19</v>
      </c>
      <c r="D38" s="224" t="s">
        <v>380</v>
      </c>
      <c r="E38" s="225" t="str">
        <f t="shared" ca="1" si="8"/>
        <v>R</v>
      </c>
      <c r="F38" s="347"/>
      <c r="G38" s="348">
        <f t="shared" ca="1" si="1"/>
        <v>19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ht="13.8" x14ac:dyDescent="0.2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364</v>
      </c>
      <c r="B40" s="224" t="s">
        <v>145</v>
      </c>
      <c r="C40" s="224">
        <v>19</v>
      </c>
      <c r="D40" s="224" t="s">
        <v>365</v>
      </c>
      <c r="E40" s="225" t="str">
        <f t="shared" ca="1" si="8"/>
        <v>R</v>
      </c>
      <c r="F40" s="347"/>
      <c r="G40" s="348">
        <f t="shared" ca="1" si="1"/>
        <v>51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145</v>
      </c>
      <c r="AS40" s="207">
        <v>19</v>
      </c>
      <c r="AT40" s="207" t="s">
        <v>307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338</v>
      </c>
      <c r="B43" s="224" t="s">
        <v>146</v>
      </c>
      <c r="C43" s="224">
        <v>18</v>
      </c>
      <c r="D43" s="224" t="s">
        <v>341</v>
      </c>
      <c r="E43" s="225" t="str">
        <f t="shared" ca="1" si="8"/>
        <v>R</v>
      </c>
      <c r="F43" s="347"/>
      <c r="G43" s="348">
        <f t="shared" ca="1" si="1"/>
        <v>22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377</v>
      </c>
      <c r="B44" s="224" t="s">
        <v>146</v>
      </c>
      <c r="C44" s="224">
        <v>18</v>
      </c>
      <c r="D44" s="224" t="s">
        <v>378</v>
      </c>
      <c r="E44" s="225" t="str">
        <f t="shared" ca="1" si="8"/>
        <v>R</v>
      </c>
      <c r="F44" s="347"/>
      <c r="G44" s="348">
        <f t="shared" ca="1" si="1"/>
        <v>23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8" x14ac:dyDescent="0.25">
      <c r="A45" s="223" t="s">
        <v>274</v>
      </c>
      <c r="B45" s="224" t="s">
        <v>146</v>
      </c>
      <c r="C45" s="224">
        <v>18</v>
      </c>
      <c r="D45" s="224" t="s">
        <v>275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8" x14ac:dyDescent="0.2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312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357</v>
      </c>
      <c r="AR47" s="207" t="s">
        <v>145</v>
      </c>
      <c r="AS47" s="207">
        <v>19</v>
      </c>
      <c r="AT47" s="207" t="s">
        <v>358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259</v>
      </c>
      <c r="B50" s="224" t="s">
        <v>147</v>
      </c>
      <c r="C50" s="224">
        <v>17</v>
      </c>
      <c r="D50" s="224" t="s">
        <v>260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379</v>
      </c>
      <c r="AR50" s="207" t="s">
        <v>145</v>
      </c>
      <c r="AS50" s="207">
        <v>19</v>
      </c>
      <c r="AT50" s="207" t="s">
        <v>380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8" x14ac:dyDescent="0.2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300</v>
      </c>
      <c r="AR51" s="207" t="s">
        <v>145</v>
      </c>
      <c r="AS51" s="207">
        <v>19</v>
      </c>
      <c r="AT51" s="207" t="s">
        <v>301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355</v>
      </c>
      <c r="AR52" s="207" t="s">
        <v>144</v>
      </c>
      <c r="AS52" s="207">
        <v>20</v>
      </c>
      <c r="AT52" s="207" t="s">
        <v>356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292</v>
      </c>
      <c r="B53" s="224" t="s">
        <v>147</v>
      </c>
      <c r="C53" s="224">
        <v>17</v>
      </c>
      <c r="D53" s="224" t="s">
        <v>293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364</v>
      </c>
      <c r="AR53" s="207" t="s">
        <v>145</v>
      </c>
      <c r="AS53" s="207">
        <v>19</v>
      </c>
      <c r="AT53" s="207" t="s">
        <v>365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8" x14ac:dyDescent="0.25">
      <c r="A54" s="223" t="s">
        <v>310</v>
      </c>
      <c r="B54" s="224" t="s">
        <v>147</v>
      </c>
      <c r="C54" s="224">
        <v>17</v>
      </c>
      <c r="D54" s="224" t="s">
        <v>311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252</v>
      </c>
      <c r="AR54" s="207" t="s">
        <v>144</v>
      </c>
      <c r="AS54" s="207">
        <v>20</v>
      </c>
      <c r="AT54" s="207" t="s">
        <v>253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8" x14ac:dyDescent="0.25">
      <c r="A55" s="223" t="s">
        <v>264</v>
      </c>
      <c r="B55" s="224" t="s">
        <v>180</v>
      </c>
      <c r="C55" s="224">
        <v>15</v>
      </c>
      <c r="D55" s="224" t="s">
        <v>265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256</v>
      </c>
      <c r="AR55" s="207" t="s">
        <v>144</v>
      </c>
      <c r="AS55" s="207">
        <v>20</v>
      </c>
      <c r="AT55" s="207" t="s">
        <v>257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18.920000000000002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-- 2016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Reg_Percent_2015</v>
      </c>
      <c r="G2" s="172" t="s">
        <v>375</v>
      </c>
      <c r="AJ2" s="173" t="str">
        <f>AJ4 &amp; AJ3</f>
        <v>'Credit_2016Q2'!d:d</v>
      </c>
      <c r="AK2" s="173" t="str">
        <f>AK4 &amp; AK3</f>
        <v>'Credit_2016Q2'!b1</v>
      </c>
      <c r="AL2" s="173" t="str">
        <f>AL4 &amp; AL3</f>
        <v>'Credit_2016Q2'!c1</v>
      </c>
      <c r="AQ2" s="169"/>
    </row>
    <row r="3" spans="1:61" ht="18" hidden="1" outlineLevel="1" x14ac:dyDescent="0.2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'Credit_2016Q2'!</v>
      </c>
      <c r="AK4" s="169" t="str">
        <f t="shared" ref="AK4:AL4" si="0">$AQ$5</f>
        <v>'Credit_2016Q2'!</v>
      </c>
      <c r="AL4" s="169" t="str">
        <f t="shared" si="0"/>
        <v>'Credit_2016Q2'!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(50)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(12)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382</v>
      </c>
    </row>
    <row r="6" spans="1:61" ht="28.5" customHeight="1" x14ac:dyDescent="0.25">
      <c r="A6" s="219" t="s">
        <v>217</v>
      </c>
      <c r="B6" s="220" t="s">
        <v>66</v>
      </c>
      <c r="C6" s="249" t="s">
        <v>219</v>
      </c>
      <c r="D6" s="221"/>
      <c r="E6" s="222">
        <f ca="1">INDIRECT( E3 &amp; G1 )</f>
        <v>42369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145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145</v>
      </c>
      <c r="AS10" s="207">
        <v>19</v>
      </c>
      <c r="AT10" s="207" t="s">
        <v>228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18.940000000000001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17.5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355</v>
      </c>
      <c r="B18" s="224" t="s">
        <v>144</v>
      </c>
      <c r="C18" s="224">
        <v>20</v>
      </c>
      <c r="D18" s="224" t="s">
        <v>356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371</v>
      </c>
      <c r="AR19" s="207" t="s">
        <v>145</v>
      </c>
      <c r="AS19" s="207">
        <v>19</v>
      </c>
      <c r="AT19" s="207" t="s">
        <v>199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227</v>
      </c>
      <c r="B23" s="224" t="s">
        <v>145</v>
      </c>
      <c r="C23" s="224">
        <v>19</v>
      </c>
      <c r="D23" s="224" t="s">
        <v>228</v>
      </c>
      <c r="E23" s="225" t="str">
        <f t="shared" ca="1" si="8"/>
        <v>R</v>
      </c>
      <c r="F23" s="347"/>
      <c r="G23" s="348">
        <f t="shared" ca="1" si="1"/>
        <v>10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38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ht="13.8" x14ac:dyDescent="0.25">
      <c r="A24" s="223" t="s">
        <v>238</v>
      </c>
      <c r="B24" s="224" t="s">
        <v>145</v>
      </c>
      <c r="C24" s="224">
        <v>19</v>
      </c>
      <c r="D24" s="224" t="s">
        <v>239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16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377</v>
      </c>
      <c r="AR25" s="207" t="s">
        <v>146</v>
      </c>
      <c r="AS25" s="207">
        <v>18</v>
      </c>
      <c r="AT25" s="207" t="s">
        <v>378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371</v>
      </c>
      <c r="B26" s="224" t="s">
        <v>145</v>
      </c>
      <c r="C26" s="224">
        <v>19</v>
      </c>
      <c r="D26" s="224" t="s">
        <v>199</v>
      </c>
      <c r="E26" s="225" t="str">
        <f t="shared" ca="1" si="8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145</v>
      </c>
      <c r="AS26" s="207">
        <v>19</v>
      </c>
      <c r="AT26" s="207" t="s">
        <v>273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266</v>
      </c>
      <c r="B27" s="224" t="s">
        <v>145</v>
      </c>
      <c r="C27" s="224">
        <v>19</v>
      </c>
      <c r="D27" s="224" t="s">
        <v>267</v>
      </c>
      <c r="E27" s="225" t="str">
        <f t="shared" ca="1" si="8"/>
        <v>R</v>
      </c>
      <c r="F27" s="347"/>
      <c r="G27" s="348">
        <f t="shared" ca="1" si="1"/>
        <v>19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270</v>
      </c>
      <c r="B28" s="224" t="s">
        <v>145</v>
      </c>
      <c r="C28" s="224">
        <v>19</v>
      </c>
      <c r="D28" s="224" t="s">
        <v>271</v>
      </c>
      <c r="E28" s="225" t="str">
        <f t="shared" ca="1" si="8"/>
        <v>R</v>
      </c>
      <c r="F28" s="347"/>
      <c r="G28" s="348">
        <f t="shared" ca="1" si="1"/>
        <v>21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272</v>
      </c>
      <c r="B29" s="224" t="s">
        <v>145</v>
      </c>
      <c r="C29" s="224">
        <v>19</v>
      </c>
      <c r="D29" s="224" t="s">
        <v>273</v>
      </c>
      <c r="E29" s="225" t="str">
        <f t="shared" ca="1" si="8"/>
        <v>R</v>
      </c>
      <c r="F29" s="347"/>
      <c r="G29" s="348">
        <f t="shared" ca="1" si="1"/>
        <v>24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43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362</v>
      </c>
      <c r="B30" s="224" t="s">
        <v>145</v>
      </c>
      <c r="C30" s="224">
        <v>19</v>
      </c>
      <c r="D30" s="224" t="s">
        <v>363</v>
      </c>
      <c r="E30" s="225" t="str">
        <f t="shared" ca="1" si="8"/>
        <v>R</v>
      </c>
      <c r="F30" s="347"/>
      <c r="G30" s="348">
        <f t="shared" ca="1" si="1"/>
        <v>28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362</v>
      </c>
      <c r="AR30" s="207" t="s">
        <v>145</v>
      </c>
      <c r="AS30" s="207">
        <v>19</v>
      </c>
      <c r="AT30" s="207" t="s">
        <v>363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8" x14ac:dyDescent="0.25">
      <c r="A31" s="223" t="s">
        <v>276</v>
      </c>
      <c r="B31" s="224" t="s">
        <v>145</v>
      </c>
      <c r="C31" s="224">
        <v>19</v>
      </c>
      <c r="D31" s="224" t="s">
        <v>277</v>
      </c>
      <c r="E31" s="225" t="str">
        <f t="shared" ca="1" si="8"/>
        <v>MR</v>
      </c>
      <c r="F31" s="347"/>
      <c r="G31" s="348">
        <f t="shared" ca="1" si="1"/>
        <v>31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278</v>
      </c>
      <c r="B32" s="224" t="s">
        <v>145</v>
      </c>
      <c r="C32" s="224">
        <v>19</v>
      </c>
      <c r="D32" s="224" t="s">
        <v>279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306</v>
      </c>
      <c r="B33" s="224" t="s">
        <v>145</v>
      </c>
      <c r="C33" s="224">
        <v>19</v>
      </c>
      <c r="D33" s="224" t="s">
        <v>307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>
        <f t="shared" ca="1" si="3"/>
        <v>1</v>
      </c>
      <c r="AH33" s="169" t="str">
        <f t="shared" ca="1" si="18"/>
        <v/>
      </c>
      <c r="AJ33" s="169">
        <f t="shared" ca="1" si="19"/>
        <v>48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4"/>
        <v>Change</v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8" x14ac:dyDescent="0.25">
      <c r="A34" s="223" t="s">
        <v>308</v>
      </c>
      <c r="B34" s="224" t="s">
        <v>145</v>
      </c>
      <c r="C34" s="224">
        <v>19</v>
      </c>
      <c r="D34" s="224" t="s">
        <v>309</v>
      </c>
      <c r="E34" s="225" t="str">
        <f t="shared" ca="1" si="8"/>
        <v>R</v>
      </c>
      <c r="F34" s="347"/>
      <c r="G34" s="348">
        <f t="shared" ca="1" si="1"/>
        <v>40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31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ht="13.8" x14ac:dyDescent="0.25">
      <c r="A35" s="223" t="s">
        <v>294</v>
      </c>
      <c r="B35" s="224" t="s">
        <v>145</v>
      </c>
      <c r="C35" s="224">
        <v>19</v>
      </c>
      <c r="D35" s="224" t="s">
        <v>295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357</v>
      </c>
      <c r="B36" s="224" t="s">
        <v>145</v>
      </c>
      <c r="C36" s="224">
        <v>19</v>
      </c>
      <c r="D36" s="224" t="s">
        <v>358</v>
      </c>
      <c r="E36" s="225" t="str">
        <f t="shared" ca="1" si="8"/>
        <v>MR</v>
      </c>
      <c r="F36" s="347"/>
      <c r="G36" s="348">
        <f t="shared" ca="1" si="1"/>
        <v>44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ht="13.8" x14ac:dyDescent="0.25">
      <c r="A37" s="223" t="s">
        <v>296</v>
      </c>
      <c r="B37" s="224" t="s">
        <v>145</v>
      </c>
      <c r="C37" s="224">
        <v>19</v>
      </c>
      <c r="D37" s="224" t="s">
        <v>297</v>
      </c>
      <c r="E37" s="225" t="str">
        <f t="shared" ca="1" si="8"/>
        <v>MR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8" x14ac:dyDescent="0.25">
      <c r="A38" s="223" t="s">
        <v>379</v>
      </c>
      <c r="B38" s="224" t="s">
        <v>145</v>
      </c>
      <c r="C38" s="224">
        <v>19</v>
      </c>
      <c r="D38" s="224" t="s">
        <v>380</v>
      </c>
      <c r="E38" s="225" t="str">
        <f t="shared" ca="1" si="8"/>
        <v>R</v>
      </c>
      <c r="F38" s="347"/>
      <c r="G38" s="348">
        <f t="shared" ca="1" si="1"/>
        <v>19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ht="13.8" x14ac:dyDescent="0.25">
      <c r="A39" s="223" t="s">
        <v>300</v>
      </c>
      <c r="B39" s="224" t="s">
        <v>145</v>
      </c>
      <c r="C39" s="224">
        <v>19</v>
      </c>
      <c r="D39" s="224" t="s">
        <v>301</v>
      </c>
      <c r="E39" s="225" t="str">
        <f t="shared" ca="1" si="8"/>
        <v>R</v>
      </c>
      <c r="F39" s="347"/>
      <c r="G39" s="348">
        <f t="shared" ca="1" si="1"/>
        <v>48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364</v>
      </c>
      <c r="B40" s="224" t="s">
        <v>145</v>
      </c>
      <c r="C40" s="224">
        <v>19</v>
      </c>
      <c r="D40" s="224" t="s">
        <v>365</v>
      </c>
      <c r="E40" s="225" t="str">
        <f t="shared" ca="1" si="8"/>
        <v>R</v>
      </c>
      <c r="F40" s="347"/>
      <c r="G40" s="348">
        <f t="shared" ca="1" si="1"/>
        <v>51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306</v>
      </c>
      <c r="AR40" s="207" t="s">
        <v>145</v>
      </c>
      <c r="AS40" s="207">
        <v>19</v>
      </c>
      <c r="AT40" s="207" t="s">
        <v>307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338</v>
      </c>
      <c r="B43" s="224" t="s">
        <v>146</v>
      </c>
      <c r="C43" s="224">
        <v>18</v>
      </c>
      <c r="D43" s="224" t="s">
        <v>341</v>
      </c>
      <c r="E43" s="225" t="str">
        <f t="shared" ca="1" si="8"/>
        <v>R</v>
      </c>
      <c r="F43" s="347"/>
      <c r="G43" s="348">
        <f t="shared" ca="1" si="1"/>
        <v>22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377</v>
      </c>
      <c r="B44" s="224" t="s">
        <v>146</v>
      </c>
      <c r="C44" s="224">
        <v>18</v>
      </c>
      <c r="D44" s="224" t="s">
        <v>378</v>
      </c>
      <c r="E44" s="225" t="str">
        <f t="shared" ca="1" si="8"/>
        <v>R</v>
      </c>
      <c r="F44" s="347"/>
      <c r="G44" s="348">
        <f t="shared" ca="1" si="1"/>
        <v>23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8" x14ac:dyDescent="0.25">
      <c r="A45" s="223" t="s">
        <v>274</v>
      </c>
      <c r="B45" s="224" t="s">
        <v>146</v>
      </c>
      <c r="C45" s="224">
        <v>18</v>
      </c>
      <c r="D45" s="224" t="s">
        <v>275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8" x14ac:dyDescent="0.2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357</v>
      </c>
      <c r="AR47" s="207" t="s">
        <v>145</v>
      </c>
      <c r="AS47" s="207">
        <v>19</v>
      </c>
      <c r="AT47" s="207" t="s">
        <v>358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259</v>
      </c>
      <c r="B50" s="224" t="s">
        <v>147</v>
      </c>
      <c r="C50" s="224">
        <v>17</v>
      </c>
      <c r="D50" s="224" t="s">
        <v>260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379</v>
      </c>
      <c r="AR50" s="207" t="s">
        <v>145</v>
      </c>
      <c r="AS50" s="207">
        <v>19</v>
      </c>
      <c r="AT50" s="207" t="s">
        <v>380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8" x14ac:dyDescent="0.2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300</v>
      </c>
      <c r="AR51" s="207" t="s">
        <v>145</v>
      </c>
      <c r="AS51" s="207">
        <v>19</v>
      </c>
      <c r="AT51" s="207" t="s">
        <v>301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355</v>
      </c>
      <c r="AR52" s="207" t="s">
        <v>144</v>
      </c>
      <c r="AS52" s="207">
        <v>20</v>
      </c>
      <c r="AT52" s="207" t="s">
        <v>356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292</v>
      </c>
      <c r="B53" s="224" t="s">
        <v>147</v>
      </c>
      <c r="C53" s="224">
        <v>17</v>
      </c>
      <c r="D53" s="224" t="s">
        <v>293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364</v>
      </c>
      <c r="AR53" s="207" t="s">
        <v>145</v>
      </c>
      <c r="AS53" s="207">
        <v>19</v>
      </c>
      <c r="AT53" s="207" t="s">
        <v>365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8" x14ac:dyDescent="0.25">
      <c r="A54" s="223" t="s">
        <v>310</v>
      </c>
      <c r="B54" s="224" t="s">
        <v>147</v>
      </c>
      <c r="C54" s="224">
        <v>17</v>
      </c>
      <c r="D54" s="224" t="s">
        <v>311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252</v>
      </c>
      <c r="AR54" s="207" t="s">
        <v>144</v>
      </c>
      <c r="AS54" s="207">
        <v>20</v>
      </c>
      <c r="AT54" s="207" t="s">
        <v>253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8" x14ac:dyDescent="0.25">
      <c r="A55" s="223" t="s">
        <v>264</v>
      </c>
      <c r="B55" s="224" t="s">
        <v>180</v>
      </c>
      <c r="C55" s="224">
        <v>15</v>
      </c>
      <c r="D55" s="224" t="s">
        <v>265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256</v>
      </c>
      <c r="AR55" s="207" t="s">
        <v>144</v>
      </c>
      <c r="AS55" s="207">
        <v>20</v>
      </c>
      <c r="AT55" s="207" t="s">
        <v>257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18.920000000000002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C1:X43"/>
  <sheetViews>
    <sheetView showGridLines="0" zoomScale="90" zoomScaleNormal="90" workbookViewId="0"/>
  </sheetViews>
  <sheetFormatPr defaultColWidth="9.109375" defaultRowHeight="11.4" x14ac:dyDescent="0.2"/>
  <cols>
    <col min="1" max="2" width="1.44140625" style="33" customWidth="1"/>
    <col min="3" max="3" width="25.109375" style="33" customWidth="1"/>
    <col min="4" max="16384" width="9.109375" style="33"/>
  </cols>
  <sheetData>
    <row r="1" spans="3:24" ht="17.399999999999999" x14ac:dyDescent="0.3">
      <c r="C1" s="12" t="s">
        <v>116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</row>
    <row r="4" spans="3:24" ht="12" x14ac:dyDescent="0.25">
      <c r="C4" s="30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3:24" ht="12" x14ac:dyDescent="0.25">
      <c r="C5" s="362" t="s">
        <v>117</v>
      </c>
      <c r="D5" s="362"/>
      <c r="E5" s="362"/>
      <c r="F5" s="362"/>
      <c r="G5" s="346"/>
      <c r="H5" s="346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7" spans="3:24" ht="12" x14ac:dyDescent="0.25">
      <c r="C7" s="361" t="s">
        <v>110</v>
      </c>
      <c r="D7" s="361"/>
      <c r="E7" s="361"/>
      <c r="F7" s="361"/>
      <c r="G7" s="32"/>
      <c r="H7" s="3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 spans="3:24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</row>
    <row r="9" spans="3:24" ht="12" x14ac:dyDescent="0.25">
      <c r="C9" s="30"/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  <c r="X9" s="34">
        <v>2022</v>
      </c>
    </row>
    <row r="10" spans="3:24" ht="12" x14ac:dyDescent="0.25">
      <c r="C10" s="31"/>
      <c r="D10" s="34"/>
      <c r="E10" s="34"/>
      <c r="F10" s="34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3:24" x14ac:dyDescent="0.2">
      <c r="C11" s="302" t="s">
        <v>118</v>
      </c>
      <c r="D11" s="301">
        <v>21</v>
      </c>
      <c r="E11" s="301">
        <v>35</v>
      </c>
      <c r="F11" s="301">
        <v>51</v>
      </c>
      <c r="G11" s="302">
        <v>73</v>
      </c>
      <c r="H11" s="302">
        <v>67</v>
      </c>
      <c r="I11" s="302">
        <v>73</v>
      </c>
      <c r="J11" s="302">
        <v>24</v>
      </c>
      <c r="K11" s="302">
        <v>23</v>
      </c>
      <c r="L11" s="302">
        <f ca="1">'II. Upgrades &amp; Downgrades'!AO61</f>
        <v>29</v>
      </c>
      <c r="M11" s="302">
        <f ca="1">'II. Upgrades &amp; Downgrades'!AS61</f>
        <v>39</v>
      </c>
      <c r="N11" s="302">
        <f ca="1">'II. Upgrades &amp; Downgrades'!AW61</f>
        <v>37</v>
      </c>
      <c r="O11" s="302">
        <f ca="1">'II. Upgrades &amp; Downgrades'!BA61</f>
        <v>60</v>
      </c>
      <c r="P11" s="302">
        <f ca="1">'II. Upgrades &amp; Downgrades'!BE61</f>
        <v>103</v>
      </c>
      <c r="Q11" s="302">
        <f ca="1">'II. Upgrades &amp; Downgrades'!BI61</f>
        <v>35</v>
      </c>
      <c r="R11" s="302">
        <f ca="1">'II. Upgrades &amp; Downgrades'!BM61</f>
        <v>49</v>
      </c>
      <c r="S11" s="302">
        <f ca="1">'II. Upgrades &amp; Downgrades'!BQ61</f>
        <v>38</v>
      </c>
      <c r="T11" s="302">
        <f ca="1">'II. Upgrades &amp; Downgrades'!BU61</f>
        <v>41</v>
      </c>
      <c r="U11" s="302">
        <f ca="1">'II. Upgrades &amp; Downgrades'!BY61</f>
        <v>55</v>
      </c>
      <c r="V11" s="302">
        <f ca="1">'II. Upgrades &amp; Downgrades'!CC61</f>
        <v>12</v>
      </c>
      <c r="W11" s="302">
        <f ca="1">'II. Upgrades &amp; Downgrades'!CG61</f>
        <v>20</v>
      </c>
      <c r="X11" s="302">
        <f ca="1">'II. Upgrades &amp; Downgrades'!CK61</f>
        <v>9</v>
      </c>
    </row>
    <row r="12" spans="3:24" x14ac:dyDescent="0.2">
      <c r="C12" s="304" t="s">
        <v>119</v>
      </c>
      <c r="D12" s="303">
        <v>279</v>
      </c>
      <c r="E12" s="303">
        <v>218</v>
      </c>
      <c r="F12" s="303">
        <v>59</v>
      </c>
      <c r="G12" s="304">
        <v>48</v>
      </c>
      <c r="H12" s="304">
        <v>43</v>
      </c>
      <c r="I12" s="304">
        <v>48</v>
      </c>
      <c r="J12" s="304">
        <v>26</v>
      </c>
      <c r="K12" s="304">
        <v>34</v>
      </c>
      <c r="L12" s="304">
        <f ca="1" xml:space="preserve"> - 'II. Upgrades &amp; Downgrades'!AO62</f>
        <v>51</v>
      </c>
      <c r="M12" s="304">
        <f ca="1" xml:space="preserve"> - 'II. Upgrades &amp; Downgrades'!AS62</f>
        <v>21</v>
      </c>
      <c r="N12" s="304">
        <f ca="1" xml:space="preserve"> - 'II. Upgrades &amp; Downgrades'!AW62</f>
        <v>39</v>
      </c>
      <c r="O12" s="304">
        <f ca="1" xml:space="preserve"> - 'II. Upgrades &amp; Downgrades'!BA62</f>
        <v>20</v>
      </c>
      <c r="P12" s="304">
        <f ca="1" xml:space="preserve"> - 'II. Upgrades &amp; Downgrades'!BE62</f>
        <v>3</v>
      </c>
      <c r="Q12" s="304">
        <f ca="1" xml:space="preserve"> - 'II. Upgrades &amp; Downgrades'!BI62</f>
        <v>15</v>
      </c>
      <c r="R12" s="304">
        <f ca="1" xml:space="preserve"> - 'II. Upgrades &amp; Downgrades'!BM62</f>
        <v>18</v>
      </c>
      <c r="S12" s="304">
        <f ca="1" xml:space="preserve"> - 'II. Upgrades &amp; Downgrades'!BQ62</f>
        <v>14</v>
      </c>
      <c r="T12" s="304">
        <f ca="1" xml:space="preserve"> - 'II. Upgrades &amp; Downgrades'!BU62</f>
        <v>52</v>
      </c>
      <c r="U12" s="304">
        <f ca="1" xml:space="preserve"> - 'II. Upgrades &amp; Downgrades'!BY62</f>
        <v>35</v>
      </c>
      <c r="V12" s="304">
        <f ca="1" xml:space="preserve"> - 'II. Upgrades &amp; Downgrades'!CC62</f>
        <v>47</v>
      </c>
      <c r="W12" s="304">
        <f ca="1" xml:space="preserve"> - 'II. Upgrades &amp; Downgrades'!CG62</f>
        <v>32</v>
      </c>
      <c r="X12" s="304">
        <f ca="1" xml:space="preserve"> - 'II. Upgrades &amp; Downgrades'!CK62</f>
        <v>3</v>
      </c>
    </row>
    <row r="13" spans="3:24" x14ac:dyDescent="0.2">
      <c r="C13" s="31" t="s">
        <v>120</v>
      </c>
      <c r="D13" s="35">
        <f t="shared" ref="D13:M13" ca="1" si="0">D11 / D14</f>
        <v>7.0000000000000007E-2</v>
      </c>
      <c r="E13" s="35">
        <f t="shared" ca="1" si="0"/>
        <v>0.13833992094861661</v>
      </c>
      <c r="F13" s="35">
        <f t="shared" ca="1" si="0"/>
        <v>0.46363636363636362</v>
      </c>
      <c r="G13" s="35">
        <f t="shared" ca="1" si="0"/>
        <v>0.60330578512396693</v>
      </c>
      <c r="H13" s="35">
        <f t="shared" ca="1" si="0"/>
        <v>0.60909090909090913</v>
      </c>
      <c r="I13" s="35">
        <f t="shared" ca="1" si="0"/>
        <v>0.60330578512396693</v>
      </c>
      <c r="J13" s="35">
        <f t="shared" ca="1" si="0"/>
        <v>0.48</v>
      </c>
      <c r="K13" s="35">
        <f t="shared" ca="1" si="0"/>
        <v>0.40350877192982454</v>
      </c>
      <c r="L13" s="35">
        <f t="shared" ca="1" si="0"/>
        <v>0.36249999999999999</v>
      </c>
      <c r="M13" s="35">
        <f t="shared" ca="1" si="0"/>
        <v>0.65</v>
      </c>
      <c r="N13" s="35">
        <f t="shared" ref="N13:U13" ca="1" si="1">N11 / N14</f>
        <v>0.48684210526315791</v>
      </c>
      <c r="O13" s="35">
        <f t="shared" ca="1" si="1"/>
        <v>0.75</v>
      </c>
      <c r="P13" s="35">
        <f t="shared" ca="1" si="1"/>
        <v>0.97169811320754718</v>
      </c>
      <c r="Q13" s="35">
        <f t="shared" ca="1" si="1"/>
        <v>0.7</v>
      </c>
      <c r="R13" s="35">
        <f t="shared" ca="1" si="1"/>
        <v>0.73134328358208955</v>
      </c>
      <c r="S13" s="35">
        <f t="shared" ref="S13" ca="1" si="2">S11 / S14</f>
        <v>0.73076923076923073</v>
      </c>
      <c r="T13" s="35">
        <f t="shared" ref="T13" ca="1" si="3">T11 / T14</f>
        <v>0.44086021505376344</v>
      </c>
      <c r="U13" s="35">
        <f t="shared" ca="1" si="1"/>
        <v>0.61111111111111116</v>
      </c>
      <c r="V13" s="35">
        <f t="shared" ref="V13:W13" ca="1" si="4">V11 / V14</f>
        <v>0.20338983050847459</v>
      </c>
      <c r="W13" s="35">
        <f t="shared" ca="1" si="4"/>
        <v>0.38461538461538464</v>
      </c>
      <c r="X13" s="35">
        <f t="shared" ref="X13" ca="1" si="5">X11 / X14</f>
        <v>0.75</v>
      </c>
    </row>
    <row r="14" spans="3:24" ht="12" x14ac:dyDescent="0.25">
      <c r="C14" s="300" t="s">
        <v>111</v>
      </c>
      <c r="D14" s="300">
        <f t="shared" ref="D14:J14" ca="1" si="6">SUM(D11:D12)</f>
        <v>300</v>
      </c>
      <c r="E14" s="300">
        <f t="shared" ca="1" si="6"/>
        <v>253</v>
      </c>
      <c r="F14" s="300">
        <f t="shared" ca="1" si="6"/>
        <v>110</v>
      </c>
      <c r="G14" s="300">
        <f t="shared" ca="1" si="6"/>
        <v>121</v>
      </c>
      <c r="H14" s="300">
        <f t="shared" ca="1" si="6"/>
        <v>110</v>
      </c>
      <c r="I14" s="300">
        <f t="shared" ca="1" si="6"/>
        <v>121</v>
      </c>
      <c r="J14" s="300">
        <f t="shared" ca="1" si="6"/>
        <v>50</v>
      </c>
      <c r="K14" s="300">
        <f t="shared" ref="K14:U14" ca="1" si="7">SUM(K11:K12)</f>
        <v>57</v>
      </c>
      <c r="L14" s="300">
        <f t="shared" ca="1" si="7"/>
        <v>80</v>
      </c>
      <c r="M14" s="300">
        <f t="shared" ca="1" si="7"/>
        <v>60</v>
      </c>
      <c r="N14" s="300">
        <f t="shared" ca="1" si="7"/>
        <v>76</v>
      </c>
      <c r="O14" s="300">
        <f t="shared" ca="1" si="7"/>
        <v>80</v>
      </c>
      <c r="P14" s="300">
        <f t="shared" ref="P14:R14" ca="1" si="8">SUM(P11:P12)</f>
        <v>106</v>
      </c>
      <c r="Q14" s="300">
        <f t="shared" ca="1" si="8"/>
        <v>50</v>
      </c>
      <c r="R14" s="300">
        <f t="shared" ca="1" si="8"/>
        <v>67</v>
      </c>
      <c r="S14" s="300">
        <f t="shared" ref="S14" ca="1" si="9">SUM(S11:S12)</f>
        <v>52</v>
      </c>
      <c r="T14" s="300">
        <f t="shared" ref="T14" ca="1" si="10">SUM(T11:T12)</f>
        <v>93</v>
      </c>
      <c r="U14" s="300">
        <f t="shared" ca="1" si="7"/>
        <v>90</v>
      </c>
      <c r="V14" s="300">
        <f t="shared" ref="V14:W14" ca="1" si="11">SUM(V11:V12)</f>
        <v>59</v>
      </c>
      <c r="W14" s="300">
        <f t="shared" ca="1" si="11"/>
        <v>52</v>
      </c>
      <c r="X14" s="300">
        <f t="shared" ref="X14" ca="1" si="12">SUM(X11:X12)</f>
        <v>12</v>
      </c>
    </row>
    <row r="15" spans="3:24" ht="12" x14ac:dyDescent="0.25">
      <c r="C15" s="2"/>
      <c r="D15" s="30"/>
      <c r="E15" s="30"/>
      <c r="F15" s="30"/>
      <c r="G15" s="30"/>
      <c r="H15" s="30"/>
      <c r="I15" s="30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</row>
    <row r="16" spans="3:24" x14ac:dyDescent="0.2">
      <c r="C16" s="2" t="s">
        <v>121</v>
      </c>
      <c r="D16" s="148">
        <v>0.5</v>
      </c>
      <c r="E16" s="147">
        <f ca="1">D16</f>
        <v>0.5</v>
      </c>
      <c r="F16" s="147">
        <f t="shared" ref="F16:M16" ca="1" si="13">E16</f>
        <v>0.5</v>
      </c>
      <c r="G16" s="147">
        <f t="shared" ca="1" si="13"/>
        <v>0.5</v>
      </c>
      <c r="H16" s="147">
        <f t="shared" ca="1" si="13"/>
        <v>0.5</v>
      </c>
      <c r="I16" s="147">
        <f t="shared" ca="1" si="13"/>
        <v>0.5</v>
      </c>
      <c r="J16" s="147">
        <f t="shared" ca="1" si="13"/>
        <v>0.5</v>
      </c>
      <c r="K16" s="147">
        <f t="shared" ca="1" si="13"/>
        <v>0.5</v>
      </c>
      <c r="L16" s="147">
        <f t="shared" ca="1" si="13"/>
        <v>0.5</v>
      </c>
      <c r="M16" s="147">
        <f t="shared" ca="1" si="13"/>
        <v>0.5</v>
      </c>
      <c r="N16" s="147">
        <f ca="1">L16</f>
        <v>0.5</v>
      </c>
      <c r="O16" s="147">
        <f ca="1">M16</f>
        <v>0.5</v>
      </c>
      <c r="P16" s="147">
        <f ca="1">L16</f>
        <v>0.5</v>
      </c>
      <c r="Q16" s="147">
        <f ca="1">L16</f>
        <v>0.5</v>
      </c>
      <c r="R16" s="147">
        <f ca="1">L16</f>
        <v>0.5</v>
      </c>
      <c r="S16" s="147">
        <f ca="1">M16</f>
        <v>0.5</v>
      </c>
      <c r="T16" s="147">
        <f ca="1">L16</f>
        <v>0.5</v>
      </c>
      <c r="U16" s="147">
        <f ca="1">M16</f>
        <v>0.5</v>
      </c>
      <c r="V16" s="147">
        <f ca="1">N16</f>
        <v>0.5</v>
      </c>
      <c r="W16" s="147">
        <f ca="1">O16</f>
        <v>0.5</v>
      </c>
      <c r="X16" s="147">
        <f ca="1">P16</f>
        <v>0.5</v>
      </c>
    </row>
    <row r="17" spans="3:9" ht="12" x14ac:dyDescent="0.25">
      <c r="C17" s="30"/>
      <c r="D17" s="30"/>
      <c r="E17" s="30"/>
      <c r="F17" s="30"/>
      <c r="G17" s="30"/>
      <c r="H17" s="30"/>
      <c r="I17" s="30"/>
    </row>
    <row r="18" spans="3:9" ht="12" x14ac:dyDescent="0.25">
      <c r="C18" s="30"/>
      <c r="D18" s="30"/>
      <c r="E18" s="30"/>
      <c r="F18" s="30"/>
      <c r="G18" s="30"/>
      <c r="H18" s="30"/>
      <c r="I18" s="30"/>
    </row>
    <row r="42" spans="4:4" ht="12" x14ac:dyDescent="0.25">
      <c r="D42" s="30" t="s">
        <v>122</v>
      </c>
    </row>
    <row r="43" spans="4:4" x14ac:dyDescent="0.2">
      <c r="D43" s="31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-- 2016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Reg_Percent_2015</v>
      </c>
      <c r="G2" s="172" t="s">
        <v>375</v>
      </c>
      <c r="AJ2" s="173" t="str">
        <f>AJ4 &amp; AJ3</f>
        <v>'Credit_2016Q1'!d:d</v>
      </c>
      <c r="AK2" s="173" t="str">
        <f>AK4 &amp; AK3</f>
        <v>'Credit_2016Q1'!b1</v>
      </c>
      <c r="AL2" s="173" t="str">
        <f>AL4 &amp; AL3</f>
        <v>'Credit_2016Q1'!c1</v>
      </c>
      <c r="AQ2" s="169"/>
    </row>
    <row r="3" spans="1:61" ht="18" hidden="1" outlineLevel="1" x14ac:dyDescent="0.2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'Credit_2016Q1'!</v>
      </c>
      <c r="AK4" s="169" t="str">
        <f t="shared" ref="AK4:AL4" si="0">$AQ$5</f>
        <v>'Credit_2016Q1'!</v>
      </c>
      <c r="AL4" s="169" t="str">
        <f t="shared" si="0"/>
        <v>'Credit_2016Q1'!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(50)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(12)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384</v>
      </c>
    </row>
    <row r="6" spans="1:61" ht="28.5" customHeight="1" x14ac:dyDescent="0.25">
      <c r="A6" s="219" t="s">
        <v>217</v>
      </c>
      <c r="B6" s="220" t="s">
        <v>65</v>
      </c>
      <c r="C6" s="249" t="s">
        <v>219</v>
      </c>
      <c r="D6" s="221"/>
      <c r="E6" s="222">
        <f ca="1">INDIRECT( E3 &amp; G1 )</f>
        <v>42369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10</v>
      </c>
      <c r="P10" s="216">
        <f t="shared" ca="1" si="12"/>
        <v>0.27777777777777779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12</v>
      </c>
      <c r="M11" s="216">
        <f t="shared" si="10"/>
        <v>0.24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12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si="21"/>
        <v>15</v>
      </c>
      <c r="AW11" s="168">
        <f>COUNTIF( AV$7:AV11, AV11 )</f>
        <v>3</v>
      </c>
      <c r="AX11" s="208">
        <f t="shared" si="22"/>
        <v>15.3</v>
      </c>
      <c r="AY11" s="168">
        <f t="shared" si="23"/>
        <v>17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147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2</v>
      </c>
      <c r="AX12" s="208">
        <f t="shared" si="22"/>
        <v>32.200000000000003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148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32</v>
      </c>
      <c r="AW14" s="168">
        <f>COUNTIF( AV$7:AV14, AV14 )</f>
        <v>3</v>
      </c>
      <c r="AX14" s="208">
        <f t="shared" si="22"/>
        <v>32.299999999999997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18.916666666666668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17.5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355</v>
      </c>
      <c r="B18" s="224" t="s">
        <v>144</v>
      </c>
      <c r="C18" s="224">
        <v>20</v>
      </c>
      <c r="D18" s="224" t="s">
        <v>356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371</v>
      </c>
      <c r="AR19" s="207" t="s">
        <v>145</v>
      </c>
      <c r="AS19" s="207">
        <v>19</v>
      </c>
      <c r="AT19" s="207" t="s">
        <v>199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238</v>
      </c>
      <c r="B23" s="224" t="s">
        <v>145</v>
      </c>
      <c r="C23" s="224">
        <v>19</v>
      </c>
      <c r="D23" s="224" t="s">
        <v>239</v>
      </c>
      <c r="E23" s="225" t="str">
        <f t="shared" ca="1" si="8"/>
        <v>MR</v>
      </c>
      <c r="F23" s="347"/>
      <c r="G23" s="348">
        <f t="shared" ca="1" si="1"/>
        <v>11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39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5</v>
      </c>
      <c r="BF23" s="173" t="str">
        <f t="shared" ca="1" si="7"/>
        <v>AVANGRID,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AGR</v>
      </c>
    </row>
    <row r="24" spans="1:61" ht="13.8" x14ac:dyDescent="0.2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8"/>
        <v>R</v>
      </c>
      <c r="F24" s="347"/>
      <c r="G24" s="348">
        <f t="shared" ca="1" si="1"/>
        <v>16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32</v>
      </c>
      <c r="AW24" s="168">
        <f>COUNTIF( AV$7:AV24, AV24 )</f>
        <v>4</v>
      </c>
      <c r="AX24" s="208">
        <f t="shared" si="22"/>
        <v>32.4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8" x14ac:dyDescent="0.25">
      <c r="A25" s="223" t="s">
        <v>371</v>
      </c>
      <c r="B25" s="224" t="s">
        <v>145</v>
      </c>
      <c r="C25" s="224">
        <v>19</v>
      </c>
      <c r="D25" s="224" t="s">
        <v>199</v>
      </c>
      <c r="E25" s="225" t="str">
        <f t="shared" ca="1" si="8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377</v>
      </c>
      <c r="AR25" s="207" t="s">
        <v>146</v>
      </c>
      <c r="AS25" s="207">
        <v>18</v>
      </c>
      <c r="AT25" s="207" t="s">
        <v>378</v>
      </c>
      <c r="AV25" s="168">
        <f t="shared" si="21"/>
        <v>32</v>
      </c>
      <c r="AW25" s="168">
        <f>COUNTIF( AV$7:AV25, AV25 )</f>
        <v>5</v>
      </c>
      <c r="AX25" s="208">
        <f t="shared" si="22"/>
        <v>32.5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ht="13.8" x14ac:dyDescent="0.2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146</v>
      </c>
      <c r="AS26" s="207">
        <v>18</v>
      </c>
      <c r="AT26" s="207" t="s">
        <v>273</v>
      </c>
      <c r="AV26" s="168">
        <f t="shared" si="21"/>
        <v>32</v>
      </c>
      <c r="AW26" s="168">
        <f>COUNTIF( AV$7:AV26, AV26 )</f>
        <v>6</v>
      </c>
      <c r="AX26" s="208">
        <f t="shared" si="22"/>
        <v>32.6</v>
      </c>
      <c r="AY26" s="168">
        <f t="shared" si="23"/>
        <v>37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362</v>
      </c>
      <c r="B28" s="224" t="s">
        <v>145</v>
      </c>
      <c r="C28" s="224">
        <v>19</v>
      </c>
      <c r="D28" s="224" t="s">
        <v>363</v>
      </c>
      <c r="E28" s="225" t="str">
        <f t="shared" ca="1" si="8"/>
        <v>R</v>
      </c>
      <c r="F28" s="347"/>
      <c r="G28" s="348">
        <f t="shared" ca="1" si="1"/>
        <v>28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32</v>
      </c>
      <c r="AW28" s="168">
        <f>COUNTIF( AV$7:AV28, AV28 )</f>
        <v>7</v>
      </c>
      <c r="AX28" s="208">
        <f t="shared" si="22"/>
        <v>32.700000000000003</v>
      </c>
      <c r="AY28" s="168">
        <f t="shared" si="23"/>
        <v>38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MR</v>
      </c>
      <c r="F29" s="347"/>
      <c r="G29" s="348">
        <f t="shared" ca="1" si="1"/>
        <v>31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R</v>
      </c>
      <c r="F30" s="347"/>
      <c r="G30" s="348">
        <f t="shared" ca="1" si="1"/>
        <v>34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362</v>
      </c>
      <c r="AR30" s="207" t="s">
        <v>145</v>
      </c>
      <c r="AS30" s="207">
        <v>19</v>
      </c>
      <c r="AT30" s="207" t="s">
        <v>363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308</v>
      </c>
      <c r="B31" s="224" t="s">
        <v>145</v>
      </c>
      <c r="C31" s="224">
        <v>19</v>
      </c>
      <c r="D31" s="224" t="s">
        <v>309</v>
      </c>
      <c r="E31" s="225" t="str">
        <f t="shared" ca="1" si="8"/>
        <v>R</v>
      </c>
      <c r="F31" s="347"/>
      <c r="G31" s="348">
        <f t="shared" ca="1" si="1"/>
        <v>40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ht="13.8" x14ac:dyDescent="0.2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8"/>
        <v>MR</v>
      </c>
      <c r="F32" s="347"/>
      <c r="G32" s="348">
        <f t="shared" ca="1" si="1"/>
        <v>43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32</v>
      </c>
      <c r="AW32" s="168">
        <f>COUNTIF( AV$7:AV32, AV32 )</f>
        <v>8</v>
      </c>
      <c r="AX32" s="208">
        <f t="shared" si="22"/>
        <v>32.799999999999997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8" x14ac:dyDescent="0.25">
      <c r="A33" s="223" t="s">
        <v>357</v>
      </c>
      <c r="B33" s="224" t="s">
        <v>145</v>
      </c>
      <c r="C33" s="224">
        <v>19</v>
      </c>
      <c r="D33" s="224" t="s">
        <v>358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8" x14ac:dyDescent="0.25">
      <c r="A35" s="223" t="s">
        <v>379</v>
      </c>
      <c r="B35" s="224" t="s">
        <v>145</v>
      </c>
      <c r="C35" s="224">
        <v>19</v>
      </c>
      <c r="D35" s="224" t="s">
        <v>385</v>
      </c>
      <c r="E35" s="225" t="str">
        <f t="shared" ca="1" si="8"/>
        <v>R</v>
      </c>
      <c r="F35" s="347"/>
      <c r="G35" s="348">
        <f t="shared" ca="1" si="1"/>
        <v>47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8" x14ac:dyDescent="0.2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8" x14ac:dyDescent="0.25">
      <c r="A37" s="223" t="s">
        <v>364</v>
      </c>
      <c r="B37" s="224" t="s">
        <v>145</v>
      </c>
      <c r="C37" s="224">
        <v>19</v>
      </c>
      <c r="D37" s="224" t="s">
        <v>365</v>
      </c>
      <c r="E37" s="225" t="str">
        <f t="shared" ca="1" si="8"/>
        <v>R</v>
      </c>
      <c r="F37" s="347"/>
      <c r="G37" s="348">
        <f t="shared" ca="1" si="1"/>
        <v>51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32</v>
      </c>
      <c r="AW37" s="168">
        <f>COUNTIF( AV$7:AV37, AV37 )</f>
        <v>9</v>
      </c>
      <c r="AX37" s="208">
        <f t="shared" si="22"/>
        <v>32.9</v>
      </c>
      <c r="AY37" s="168">
        <f t="shared" si="23"/>
        <v>40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8" x14ac:dyDescent="0.25">
      <c r="A38" s="223" t="s">
        <v>227</v>
      </c>
      <c r="B38" s="224" t="s">
        <v>146</v>
      </c>
      <c r="C38" s="224">
        <v>18</v>
      </c>
      <c r="D38" s="224" t="s">
        <v>228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8" x14ac:dyDescent="0.2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32</v>
      </c>
      <c r="AW39" s="168">
        <f>COUNTIF( AV$7:AV39, AV39 )</f>
        <v>10</v>
      </c>
      <c r="AX39" s="208">
        <f t="shared" si="22"/>
        <v>33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250</v>
      </c>
      <c r="B40" s="224" t="s">
        <v>146</v>
      </c>
      <c r="C40" s="224">
        <v>18</v>
      </c>
      <c r="D40" s="224" t="s">
        <v>251</v>
      </c>
      <c r="E40" s="225" t="str">
        <f t="shared" ca="1" si="8"/>
        <v>R</v>
      </c>
      <c r="F40" s="347"/>
      <c r="G40" s="348">
        <f t="shared" ca="1" si="1"/>
        <v>13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306</v>
      </c>
      <c r="AR40" s="207" t="s">
        <v>146</v>
      </c>
      <c r="AS40" s="207">
        <v>18</v>
      </c>
      <c r="AT40" s="207" t="s">
        <v>307</v>
      </c>
      <c r="AV40" s="168">
        <f t="shared" si="21"/>
        <v>32</v>
      </c>
      <c r="AW40" s="168">
        <f>COUNTIF( AV$7:AV40, AV40 )</f>
        <v>11</v>
      </c>
      <c r="AX40" s="208">
        <f t="shared" si="22"/>
        <v>33.1</v>
      </c>
      <c r="AY40" s="168">
        <f t="shared" si="23"/>
        <v>42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8" x14ac:dyDescent="0.25">
      <c r="A41" s="223" t="s">
        <v>338</v>
      </c>
      <c r="B41" s="224" t="s">
        <v>146</v>
      </c>
      <c r="C41" s="224">
        <v>18</v>
      </c>
      <c r="D41" s="224" t="s">
        <v>341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377</v>
      </c>
      <c r="B42" s="224" t="s">
        <v>146</v>
      </c>
      <c r="C42" s="224">
        <v>18</v>
      </c>
      <c r="D42" s="224" t="s">
        <v>378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8" x14ac:dyDescent="0.25">
      <c r="A43" s="223" t="s">
        <v>272</v>
      </c>
      <c r="B43" s="224" t="s">
        <v>146</v>
      </c>
      <c r="C43" s="224">
        <v>18</v>
      </c>
      <c r="D43" s="224" t="s">
        <v>273</v>
      </c>
      <c r="E43" s="225" t="str">
        <f t="shared" ca="1" si="8"/>
        <v>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32</v>
      </c>
      <c r="AW43" s="168">
        <f>COUNTIF( AV$7:AV43, AV43 )</f>
        <v>12</v>
      </c>
      <c r="AX43" s="208">
        <f t="shared" si="22"/>
        <v>33.200000000000003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20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8" x14ac:dyDescent="0.2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D</v>
      </c>
      <c r="F44" s="347"/>
      <c r="G44" s="348">
        <f t="shared" ca="1" si="1"/>
        <v>26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22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30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31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357</v>
      </c>
      <c r="AR47" s="207" t="s">
        <v>145</v>
      </c>
      <c r="AS47" s="207">
        <v>19</v>
      </c>
      <c r="AT47" s="207" t="s">
        <v>358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306</v>
      </c>
      <c r="B48" s="224" t="s">
        <v>146</v>
      </c>
      <c r="C48" s="224">
        <v>18</v>
      </c>
      <c r="D48" s="224" t="s">
        <v>307</v>
      </c>
      <c r="E48" s="225" t="str">
        <f t="shared" ca="1" si="8"/>
        <v>R</v>
      </c>
      <c r="F48" s="347"/>
      <c r="G48" s="348">
        <f t="shared" ca="1" si="1"/>
        <v>38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34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8" x14ac:dyDescent="0.2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259</v>
      </c>
      <c r="B50" s="224" t="s">
        <v>147</v>
      </c>
      <c r="C50" s="224">
        <v>17</v>
      </c>
      <c r="D50" s="224" t="s">
        <v>260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23</v>
      </c>
      <c r="AK50" s="169" t="str">
        <f t="shared" ca="1" si="20"/>
        <v>BBB+</v>
      </c>
      <c r="AL50" s="169">
        <f t="shared" ca="1" si="20"/>
        <v>19</v>
      </c>
      <c r="AM50" s="169" t="str">
        <f t="shared" ca="1" si="4"/>
        <v>Change</v>
      </c>
      <c r="AQ50" s="207" t="s">
        <v>379</v>
      </c>
      <c r="AR50" s="207" t="s">
        <v>145</v>
      </c>
      <c r="AS50" s="207">
        <v>19</v>
      </c>
      <c r="AT50" s="207" t="s">
        <v>385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8" x14ac:dyDescent="0.2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300</v>
      </c>
      <c r="AR51" s="207" t="s">
        <v>145</v>
      </c>
      <c r="AS51" s="207">
        <v>19</v>
      </c>
      <c r="AT51" s="207" t="s">
        <v>386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355</v>
      </c>
      <c r="AR52" s="207" t="s">
        <v>144</v>
      </c>
      <c r="AS52" s="207">
        <v>20</v>
      </c>
      <c r="AT52" s="207" t="s">
        <v>356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292</v>
      </c>
      <c r="B53" s="224" t="s">
        <v>147</v>
      </c>
      <c r="C53" s="224">
        <v>17</v>
      </c>
      <c r="D53" s="224" t="s">
        <v>293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>
        <f t="shared" ca="1" si="3"/>
        <v>1</v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BB+</v>
      </c>
      <c r="AL53" s="169">
        <f t="shared" ca="1" si="20"/>
        <v>16</v>
      </c>
      <c r="AM53" s="169" t="str">
        <f t="shared" ca="1" si="4"/>
        <v>Change</v>
      </c>
      <c r="AQ53" s="207" t="s">
        <v>364</v>
      </c>
      <c r="AR53" s="207" t="s">
        <v>145</v>
      </c>
      <c r="AS53" s="207">
        <v>19</v>
      </c>
      <c r="AT53" s="207" t="s">
        <v>365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8" x14ac:dyDescent="0.25">
      <c r="A54" s="223" t="s">
        <v>310</v>
      </c>
      <c r="B54" s="224" t="s">
        <v>147</v>
      </c>
      <c r="C54" s="224">
        <v>17</v>
      </c>
      <c r="D54" s="224" t="s">
        <v>311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252</v>
      </c>
      <c r="AR54" s="207" t="s">
        <v>144</v>
      </c>
      <c r="AS54" s="207">
        <v>20</v>
      </c>
      <c r="AT54" s="207" t="s">
        <v>253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8" x14ac:dyDescent="0.25">
      <c r="A55" s="223" t="s">
        <v>264</v>
      </c>
      <c r="B55" s="224" t="s">
        <v>180</v>
      </c>
      <c r="C55" s="224">
        <v>15</v>
      </c>
      <c r="D55" s="224" t="s">
        <v>265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256</v>
      </c>
      <c r="AR55" s="207" t="s">
        <v>144</v>
      </c>
      <c r="AS55" s="207">
        <v>20</v>
      </c>
      <c r="AT55" s="207" t="s">
        <v>257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18.86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-- 2016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Reg_Percent_2015</v>
      </c>
      <c r="G2" s="172" t="s">
        <v>375</v>
      </c>
      <c r="AJ2" s="173" t="str">
        <f>AJ4 &amp; AJ3</f>
        <v>'Credit_2015Q4'!d:d</v>
      </c>
      <c r="AK2" s="173" t="str">
        <f>AK4 &amp; AK3</f>
        <v>'Credit_2015Q4'!b1</v>
      </c>
      <c r="AL2" s="173" t="str">
        <f>AL4 &amp; AL3</f>
        <v>'Credit_2015Q4'!c1</v>
      </c>
      <c r="AQ2" s="169"/>
    </row>
    <row r="3" spans="1:61" ht="18" hidden="1" outlineLevel="1" x14ac:dyDescent="0.2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'Credit_2015Q4'!</v>
      </c>
      <c r="AK4" s="169" t="str">
        <f t="shared" ref="AK4:AL4" si="0">$AQ$5</f>
        <v>'Credit_2015Q4'!</v>
      </c>
      <c r="AL4" s="169" t="str">
        <f t="shared" si="0"/>
        <v>'Credit_2015Q4'!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(50)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(12)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387</v>
      </c>
    </row>
    <row r="6" spans="1:61" ht="28.5" customHeight="1" x14ac:dyDescent="0.25">
      <c r="A6" s="219" t="s">
        <v>217</v>
      </c>
      <c r="B6" s="220" t="s">
        <v>64</v>
      </c>
      <c r="C6" s="249" t="s">
        <v>219</v>
      </c>
      <c r="D6" s="221"/>
      <c r="E6" s="222">
        <f ca="1">INDIRECT( E3 &amp; G1 )</f>
        <v>42369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23</v>
      </c>
      <c r="AK7" s="169" t="str">
        <f ca="1">IF( ISNA( $AJ7 ), "", OFFSET( INDIRECT( AK$2 ), $AJ7-1, 0 ) )</f>
        <v>BBB+</v>
      </c>
      <c r="AL7" s="169">
        <f ca="1">IF( ISNA( $AJ7 ), "", OFFSET( INDIRECT( AL$2 ), $AJ7-1, 0 ) )</f>
        <v>19</v>
      </c>
      <c r="AM7" s="169" t="str">
        <f t="shared" ref="AM7:AM67" ca="1" si="4">IF( B7 = AK7, "", "Change" )</f>
        <v>Change</v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240</v>
      </c>
      <c r="B8" s="224" t="s">
        <v>171</v>
      </c>
      <c r="C8" s="224">
        <v>21</v>
      </c>
      <c r="D8" s="224" t="s">
        <v>241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11</v>
      </c>
      <c r="P10" s="216">
        <f t="shared" ca="1" si="12"/>
        <v>0.30555555555555558</v>
      </c>
      <c r="Q10" s="234"/>
      <c r="R10" s="215">
        <f t="shared" ca="1" si="13"/>
        <v>6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13</v>
      </c>
      <c r="M11" s="216">
        <f t="shared" si="10"/>
        <v>0.26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1</v>
      </c>
      <c r="S11" s="216">
        <f t="shared" ca="1" si="14"/>
        <v>8.3333333333333329E-2</v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146</v>
      </c>
      <c r="AS11" s="207">
        <v>18</v>
      </c>
      <c r="AT11" s="207" t="s">
        <v>239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0.06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32</v>
      </c>
      <c r="AW12" s="168">
        <f>COUNTIF( AV$7:AV12, AV12 )</f>
        <v>3</v>
      </c>
      <c r="AX12" s="208">
        <f t="shared" si="22"/>
        <v>32.299999999999997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0.04</v>
      </c>
      <c r="N13" s="235"/>
      <c r="O13" s="217">
        <f t="shared" ca="1" si="11"/>
        <v>1</v>
      </c>
      <c r="P13" s="218">
        <f t="shared" ca="1" si="12"/>
        <v>2.7777777777777776E-2</v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32</v>
      </c>
      <c r="AW14" s="168">
        <f>COUNTIF( AV$7:AV14, AV14 )</f>
        <v>4</v>
      </c>
      <c r="AX14" s="208">
        <f t="shared" si="22"/>
        <v>32.4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18.944444444444443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18.916666666666668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17.5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145</v>
      </c>
      <c r="AS16" s="207">
        <v>19</v>
      </c>
      <c r="AT16" s="207" t="s">
        <v>388</v>
      </c>
      <c r="AV16" s="168">
        <f t="shared" si="21"/>
        <v>15</v>
      </c>
      <c r="AW16" s="168">
        <f>COUNTIF( AV$7:AV16, AV16 )</f>
        <v>3</v>
      </c>
      <c r="AX16" s="208">
        <f t="shared" si="22"/>
        <v>15.3</v>
      </c>
      <c r="AY16" s="168">
        <f t="shared" si="23"/>
        <v>17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355</v>
      </c>
      <c r="B18" s="224" t="s">
        <v>144</v>
      </c>
      <c r="C18" s="224">
        <v>20</v>
      </c>
      <c r="D18" s="224" t="s">
        <v>356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371</v>
      </c>
      <c r="AR19" s="207" t="s">
        <v>145</v>
      </c>
      <c r="AS19" s="207">
        <v>19</v>
      </c>
      <c r="AT19" s="207" t="s">
        <v>199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259</v>
      </c>
      <c r="B23" s="224" t="s">
        <v>145</v>
      </c>
      <c r="C23" s="224">
        <v>19</v>
      </c>
      <c r="D23" s="224" t="s">
        <v>388</v>
      </c>
      <c r="E23" s="225" t="str">
        <f t="shared" ca="1" si="8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10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8"/>
        <v>R</v>
      </c>
      <c r="F24" s="347"/>
      <c r="G24" s="348">
        <f t="shared" ca="1" si="1"/>
        <v>16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8" x14ac:dyDescent="0.25">
      <c r="A25" s="223" t="s">
        <v>371</v>
      </c>
      <c r="B25" s="224" t="s">
        <v>145</v>
      </c>
      <c r="C25" s="224">
        <v>19</v>
      </c>
      <c r="D25" s="224" t="s">
        <v>199</v>
      </c>
      <c r="E25" s="225" t="str">
        <f t="shared" ca="1" si="8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>
        <f t="shared" ca="1" si="18"/>
        <v>1</v>
      </c>
      <c r="AJ25" s="169">
        <f t="shared" ca="1" si="19"/>
        <v>11</v>
      </c>
      <c r="AK25" s="169" t="str">
        <f t="shared" ca="1" si="20"/>
        <v>A-</v>
      </c>
      <c r="AL25" s="169">
        <f t="shared" ca="1" si="20"/>
        <v>20</v>
      </c>
      <c r="AM25" s="169" t="str">
        <f t="shared" ca="1" si="4"/>
        <v>Change</v>
      </c>
      <c r="AQ25" s="207" t="s">
        <v>377</v>
      </c>
      <c r="AR25" s="207" t="s">
        <v>146</v>
      </c>
      <c r="AS25" s="207">
        <v>18</v>
      </c>
      <c r="AT25" s="207" t="s">
        <v>378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ht="13.8" x14ac:dyDescent="0.2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146</v>
      </c>
      <c r="AS26" s="207">
        <v>18</v>
      </c>
      <c r="AT26" s="207" t="s">
        <v>273</v>
      </c>
      <c r="AV26" s="168">
        <f t="shared" si="21"/>
        <v>32</v>
      </c>
      <c r="AW26" s="168">
        <f>COUNTIF( AV$7:AV26, AV26 )</f>
        <v>7</v>
      </c>
      <c r="AX26" s="208">
        <f t="shared" si="22"/>
        <v>32.700000000000003</v>
      </c>
      <c r="AY26" s="168">
        <f t="shared" si="23"/>
        <v>38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362</v>
      </c>
      <c r="B28" s="224" t="s">
        <v>145</v>
      </c>
      <c r="C28" s="224">
        <v>19</v>
      </c>
      <c r="D28" s="224" t="s">
        <v>363</v>
      </c>
      <c r="E28" s="225" t="str">
        <f t="shared" ca="1" si="8"/>
        <v>R</v>
      </c>
      <c r="F28" s="347"/>
      <c r="G28" s="348">
        <f t="shared" ca="1" si="1"/>
        <v>28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32</v>
      </c>
      <c r="AW28" s="168">
        <f>COUNTIF( AV$7:AV28, AV28 )</f>
        <v>8</v>
      </c>
      <c r="AX28" s="208">
        <f t="shared" si="22"/>
        <v>32.799999999999997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MR</v>
      </c>
      <c r="F29" s="347"/>
      <c r="G29" s="348">
        <f t="shared" ca="1" si="1"/>
        <v>31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45</v>
      </c>
      <c r="AW29" s="168">
        <f>COUNTIF( AV$7:AV29, AV29 )</f>
        <v>1</v>
      </c>
      <c r="AX29" s="208">
        <f t="shared" si="22"/>
        <v>45.1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R</v>
      </c>
      <c r="F30" s="347"/>
      <c r="G30" s="348">
        <f t="shared" ca="1" si="1"/>
        <v>34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362</v>
      </c>
      <c r="AR30" s="207" t="s">
        <v>145</v>
      </c>
      <c r="AS30" s="207">
        <v>19</v>
      </c>
      <c r="AT30" s="207" t="s">
        <v>363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308</v>
      </c>
      <c r="B31" s="224" t="s">
        <v>145</v>
      </c>
      <c r="C31" s="224">
        <v>19</v>
      </c>
      <c r="D31" s="224" t="s">
        <v>309</v>
      </c>
      <c r="E31" s="225" t="str">
        <f t="shared" ca="1" si="8"/>
        <v>R</v>
      </c>
      <c r="F31" s="347"/>
      <c r="G31" s="348">
        <f t="shared" ca="1" si="1"/>
        <v>40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45</v>
      </c>
      <c r="AW31" s="168">
        <f>COUNTIF( AV$7:AV31, AV31 )</f>
        <v>2</v>
      </c>
      <c r="AX31" s="208">
        <f t="shared" si="22"/>
        <v>45.2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ht="13.8" x14ac:dyDescent="0.2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8"/>
        <v>MR</v>
      </c>
      <c r="F32" s="347"/>
      <c r="G32" s="348">
        <f t="shared" ca="1" si="1"/>
        <v>43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8" x14ac:dyDescent="0.25">
      <c r="A33" s="223" t="s">
        <v>357</v>
      </c>
      <c r="B33" s="224" t="s">
        <v>145</v>
      </c>
      <c r="C33" s="224">
        <v>19</v>
      </c>
      <c r="D33" s="224" t="s">
        <v>358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48</v>
      </c>
      <c r="AW33" s="168">
        <f>COUNTIF( AV$7:AV33, AV33 )</f>
        <v>1</v>
      </c>
      <c r="AX33" s="208">
        <f t="shared" si="22"/>
        <v>48.1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8" x14ac:dyDescent="0.25">
      <c r="A35" s="223" t="s">
        <v>379</v>
      </c>
      <c r="B35" s="224" t="s">
        <v>145</v>
      </c>
      <c r="C35" s="224">
        <v>19</v>
      </c>
      <c r="D35" s="224" t="s">
        <v>385</v>
      </c>
      <c r="E35" s="225" t="str">
        <f t="shared" ca="1" si="8"/>
        <v>R</v>
      </c>
      <c r="F35" s="347"/>
      <c r="G35" s="348">
        <f t="shared" ca="1" si="1"/>
        <v>47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8" x14ac:dyDescent="0.2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8" x14ac:dyDescent="0.25">
      <c r="A37" s="223" t="s">
        <v>364</v>
      </c>
      <c r="B37" s="224" t="s">
        <v>145</v>
      </c>
      <c r="C37" s="224">
        <v>19</v>
      </c>
      <c r="D37" s="224" t="s">
        <v>365</v>
      </c>
      <c r="E37" s="225" t="str">
        <f t="shared" ca="1" si="8"/>
        <v>R</v>
      </c>
      <c r="F37" s="347"/>
      <c r="G37" s="348">
        <f t="shared" ca="1" si="1"/>
        <v>51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8" x14ac:dyDescent="0.25">
      <c r="A38" s="223" t="s">
        <v>227</v>
      </c>
      <c r="B38" s="224" t="s">
        <v>146</v>
      </c>
      <c r="C38" s="224">
        <v>18</v>
      </c>
      <c r="D38" s="224" t="s">
        <v>228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8" x14ac:dyDescent="0.25">
      <c r="A39" s="223" t="s">
        <v>238</v>
      </c>
      <c r="B39" s="224" t="s">
        <v>146</v>
      </c>
      <c r="C39" s="224">
        <v>18</v>
      </c>
      <c r="D39" s="224" t="s">
        <v>239</v>
      </c>
      <c r="E39" s="225" t="str">
        <f t="shared" ca="1" si="8"/>
        <v>MR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AVANGRID,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AGR</v>
      </c>
    </row>
    <row r="40" spans="1:61" ht="13.8" x14ac:dyDescent="0.25">
      <c r="A40" s="223" t="s">
        <v>243</v>
      </c>
      <c r="B40" s="224" t="s">
        <v>146</v>
      </c>
      <c r="C40" s="224">
        <v>18</v>
      </c>
      <c r="D40" s="224" t="s">
        <v>244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306</v>
      </c>
      <c r="AR40" s="207" t="s">
        <v>146</v>
      </c>
      <c r="AS40" s="207">
        <v>18</v>
      </c>
      <c r="AT40" s="207" t="s">
        <v>307</v>
      </c>
      <c r="AV40" s="168">
        <f t="shared" si="21"/>
        <v>32</v>
      </c>
      <c r="AW40" s="168">
        <f>COUNTIF( AV$7:AV40, AV40 )</f>
        <v>12</v>
      </c>
      <c r="AX40" s="208">
        <f t="shared" si="22"/>
        <v>33.200000000000003</v>
      </c>
      <c r="AY40" s="168">
        <f t="shared" si="23"/>
        <v>43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8" x14ac:dyDescent="0.25">
      <c r="A41" s="223" t="s">
        <v>250</v>
      </c>
      <c r="B41" s="224" t="s">
        <v>146</v>
      </c>
      <c r="C41" s="224">
        <v>18</v>
      </c>
      <c r="D41" s="224" t="s">
        <v>251</v>
      </c>
      <c r="E41" s="225" t="str">
        <f t="shared" ca="1" si="8"/>
        <v>R</v>
      </c>
      <c r="F41" s="347"/>
      <c r="G41" s="348">
        <f t="shared" ca="1" si="1"/>
        <v>13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286</v>
      </c>
      <c r="AR41" s="207" t="s">
        <v>144</v>
      </c>
      <c r="AS41" s="207">
        <v>20</v>
      </c>
      <c r="AT41" s="207" t="s">
        <v>287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ht="13.8" x14ac:dyDescent="0.25">
      <c r="A42" s="223" t="s">
        <v>338</v>
      </c>
      <c r="B42" s="224" t="s">
        <v>146</v>
      </c>
      <c r="C42" s="224">
        <v>18</v>
      </c>
      <c r="D42" s="224" t="s">
        <v>341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308</v>
      </c>
      <c r="AR42" s="207" t="s">
        <v>145</v>
      </c>
      <c r="AS42" s="207">
        <v>19</v>
      </c>
      <c r="AT42" s="207" t="s">
        <v>309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ht="13.8" x14ac:dyDescent="0.25">
      <c r="A43" s="223" t="s">
        <v>377</v>
      </c>
      <c r="B43" s="224" t="s">
        <v>146</v>
      </c>
      <c r="C43" s="224">
        <v>18</v>
      </c>
      <c r="D43" s="224" t="s">
        <v>378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290</v>
      </c>
      <c r="AR43" s="207" t="s">
        <v>146</v>
      </c>
      <c r="AS43" s="207">
        <v>18</v>
      </c>
      <c r="AT43" s="207" t="s">
        <v>291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Empire District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EDE</v>
      </c>
    </row>
    <row r="44" spans="1:61" ht="13.8" x14ac:dyDescent="0.25">
      <c r="A44" s="223" t="s">
        <v>272</v>
      </c>
      <c r="B44" s="224" t="s">
        <v>146</v>
      </c>
      <c r="C44" s="224">
        <v>18</v>
      </c>
      <c r="D44" s="224" t="s">
        <v>273</v>
      </c>
      <c r="E44" s="225" t="str">
        <f t="shared" ca="1" si="8"/>
        <v>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248</v>
      </c>
      <c r="AR44" s="207" t="s">
        <v>144</v>
      </c>
      <c r="AS44" s="207">
        <v>20</v>
      </c>
      <c r="AT44" s="207" t="s">
        <v>249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20</v>
      </c>
      <c r="BF44" s="173" t="str">
        <f t="shared" ca="1" si="25"/>
        <v>Entergy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ETR</v>
      </c>
    </row>
    <row r="45" spans="1:61" ht="13.8" x14ac:dyDescent="0.25">
      <c r="A45" s="223" t="s">
        <v>274</v>
      </c>
      <c r="B45" s="224" t="s">
        <v>146</v>
      </c>
      <c r="C45" s="224">
        <v>18</v>
      </c>
      <c r="D45" s="224" t="s">
        <v>275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294</v>
      </c>
      <c r="AR45" s="207" t="s">
        <v>145</v>
      </c>
      <c r="AS45" s="207">
        <v>19</v>
      </c>
      <c r="AT45" s="207" t="s">
        <v>295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8" x14ac:dyDescent="0.2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310</v>
      </c>
      <c r="AR46" s="207" t="s">
        <v>147</v>
      </c>
      <c r="AS46" s="207">
        <v>17</v>
      </c>
      <c r="AT46" s="207" t="s">
        <v>311</v>
      </c>
      <c r="AV46" s="168">
        <f t="shared" si="21"/>
        <v>45</v>
      </c>
      <c r="AW46" s="168">
        <f>COUNTIF( AV$7:AV46, AV46 )</f>
        <v>3</v>
      </c>
      <c r="AX46" s="208">
        <f t="shared" si="22"/>
        <v>45.3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357</v>
      </c>
      <c r="AR47" s="207" t="s">
        <v>145</v>
      </c>
      <c r="AS47" s="207">
        <v>19</v>
      </c>
      <c r="AT47" s="207" t="s">
        <v>358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296</v>
      </c>
      <c r="AR48" s="207" t="s">
        <v>145</v>
      </c>
      <c r="AS48" s="207">
        <v>19</v>
      </c>
      <c r="AT48" s="207" t="s">
        <v>297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306</v>
      </c>
      <c r="B49" s="224" t="s">
        <v>146</v>
      </c>
      <c r="C49" s="224">
        <v>18</v>
      </c>
      <c r="D49" s="224" t="s">
        <v>307</v>
      </c>
      <c r="E49" s="225" t="str">
        <f t="shared" ca="1" si="8"/>
        <v>R</v>
      </c>
      <c r="F49" s="347"/>
      <c r="G49" s="348">
        <f t="shared" ca="1" si="1"/>
        <v>38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298</v>
      </c>
      <c r="AR49" s="207" t="s">
        <v>144</v>
      </c>
      <c r="AS49" s="207">
        <v>20</v>
      </c>
      <c r="AT49" s="207" t="s">
        <v>299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34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8" x14ac:dyDescent="0.25">
      <c r="A50" s="223" t="s">
        <v>290</v>
      </c>
      <c r="B50" s="224" t="s">
        <v>146</v>
      </c>
      <c r="C50" s="224">
        <v>18</v>
      </c>
      <c r="D50" s="224" t="s">
        <v>291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379</v>
      </c>
      <c r="AR50" s="207" t="s">
        <v>145</v>
      </c>
      <c r="AS50" s="207">
        <v>19</v>
      </c>
      <c r="AT50" s="207" t="s">
        <v>385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8" x14ac:dyDescent="0.2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300</v>
      </c>
      <c r="AR51" s="207" t="s">
        <v>145</v>
      </c>
      <c r="AS51" s="207">
        <v>19</v>
      </c>
      <c r="AT51" s="207" t="s">
        <v>386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355</v>
      </c>
      <c r="AR52" s="207" t="s">
        <v>144</v>
      </c>
      <c r="AS52" s="207">
        <v>20</v>
      </c>
      <c r="AT52" s="207" t="s">
        <v>356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310</v>
      </c>
      <c r="B53" s="224" t="s">
        <v>147</v>
      </c>
      <c r="C53" s="224">
        <v>17</v>
      </c>
      <c r="D53" s="224" t="s">
        <v>311</v>
      </c>
      <c r="E53" s="225" t="str">
        <f t="shared" ca="1" si="8"/>
        <v>R</v>
      </c>
      <c r="F53" s="347"/>
      <c r="G53" s="348">
        <f t="shared" ca="1" si="1"/>
        <v>61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364</v>
      </c>
      <c r="AR53" s="207" t="s">
        <v>145</v>
      </c>
      <c r="AS53" s="207">
        <v>19</v>
      </c>
      <c r="AT53" s="207" t="s">
        <v>365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292</v>
      </c>
      <c r="B54" s="224" t="s">
        <v>178</v>
      </c>
      <c r="C54" s="224">
        <v>16</v>
      </c>
      <c r="D54" s="224" t="s">
        <v>293</v>
      </c>
      <c r="E54" s="225" t="str">
        <f t="shared" ca="1" si="8"/>
        <v>R</v>
      </c>
      <c r="F54" s="347"/>
      <c r="G54" s="348">
        <f t="shared" ca="1" si="1"/>
        <v>59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4"/>
        <v/>
      </c>
      <c r="AQ54" s="207" t="s">
        <v>252</v>
      </c>
      <c r="AR54" s="207" t="s">
        <v>144</v>
      </c>
      <c r="AS54" s="207">
        <v>20</v>
      </c>
      <c r="AT54" s="207" t="s">
        <v>253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27</v>
      </c>
      <c r="BF54" s="173" t="str">
        <f t="shared" ca="1" si="25"/>
        <v>IPALCO Enterprises, Inc.</v>
      </c>
      <c r="BG54" s="173" t="str">
        <f t="shared" ca="1" si="25"/>
        <v>BB+</v>
      </c>
      <c r="BH54" s="173">
        <f t="shared" ca="1" si="25"/>
        <v>16</v>
      </c>
      <c r="BI54" s="173" t="str">
        <f t="shared" ca="1" si="25"/>
        <v>**IPALCO</v>
      </c>
    </row>
    <row r="55" spans="1:61" ht="13.8" x14ac:dyDescent="0.25">
      <c r="A55" s="223" t="s">
        <v>264</v>
      </c>
      <c r="B55" s="224" t="s">
        <v>180</v>
      </c>
      <c r="C55" s="224">
        <v>15</v>
      </c>
      <c r="D55" s="224" t="s">
        <v>265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256</v>
      </c>
      <c r="AR55" s="207" t="s">
        <v>144</v>
      </c>
      <c r="AS55" s="207">
        <v>20</v>
      </c>
      <c r="AT55" s="207" t="s">
        <v>257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18.86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-- 2015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Reg_Percent_2014</v>
      </c>
      <c r="G2" s="172" t="s">
        <v>389</v>
      </c>
      <c r="AJ2" s="173" t="str">
        <f>AJ4 &amp; AJ3</f>
        <v>'Credit_2015Q3'!d:d</v>
      </c>
      <c r="AK2" s="173" t="str">
        <f>AK4 &amp; AK3</f>
        <v>'Credit_2015Q3'!b1</v>
      </c>
      <c r="AL2" s="173" t="str">
        <f>AL4 &amp; AL3</f>
        <v>'Credit_2015Q3'!c1</v>
      </c>
      <c r="AQ2" s="169"/>
    </row>
    <row r="3" spans="1:61" ht="18" hidden="1" outlineLevel="1" x14ac:dyDescent="0.25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'Credit_2015Q3'!</v>
      </c>
      <c r="AK4" s="169" t="str">
        <f t="shared" ref="AK4:AL4" si="0">$AQ$5</f>
        <v>'Credit_2015Q3'!</v>
      </c>
      <c r="AL4" s="169" t="str">
        <f t="shared" si="0"/>
        <v>'Credit_2015Q3'!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(51)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390</v>
      </c>
    </row>
    <row r="6" spans="1:61" ht="28.5" customHeight="1" x14ac:dyDescent="0.25">
      <c r="A6" s="219" t="s">
        <v>217</v>
      </c>
      <c r="B6" s="220" t="s">
        <v>63</v>
      </c>
      <c r="C6" s="249" t="s">
        <v>219</v>
      </c>
      <c r="D6" s="221"/>
      <c r="E6" s="222">
        <f ca="1">INDIRECT( E3 &amp; G1 )</f>
        <v>42004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171</v>
      </c>
      <c r="C7" s="224">
        <v>21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3.9215686274509803E-2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0.25490196078431371</v>
      </c>
      <c r="N9" s="234"/>
      <c r="O9" s="215">
        <f t="shared" ca="1" si="11"/>
        <v>8</v>
      </c>
      <c r="P9" s="216">
        <f t="shared" ca="1" si="12"/>
        <v>0.22222222222222221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9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18</v>
      </c>
      <c r="M10" s="216">
        <f t="shared" si="10"/>
        <v>0.35294117647058826</v>
      </c>
      <c r="N10" s="234"/>
      <c r="O10" s="215">
        <f t="shared" ca="1" si="11"/>
        <v>12</v>
      </c>
      <c r="P10" s="216">
        <f t="shared" ca="1" si="12"/>
        <v>0.33333333333333331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33</v>
      </c>
      <c r="AW10" s="168">
        <f>COUNTIF( AV$7:AV10, AV10 )</f>
        <v>1</v>
      </c>
      <c r="AX10" s="208">
        <f t="shared" si="22"/>
        <v>33.1</v>
      </c>
      <c r="AY10" s="168">
        <f t="shared" si="23"/>
        <v>33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13</v>
      </c>
      <c r="M11" s="216">
        <f t="shared" si="10"/>
        <v>0.25490196078431371</v>
      </c>
      <c r="N11" s="234"/>
      <c r="O11" s="215">
        <f t="shared" ca="1" si="11"/>
        <v>12</v>
      </c>
      <c r="P11" s="216">
        <f t="shared" ca="1" si="12"/>
        <v>0.33333333333333331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391</v>
      </c>
      <c r="AR11" s="207" t="s">
        <v>146</v>
      </c>
      <c r="AS11" s="207">
        <v>18</v>
      </c>
      <c r="AT11" s="207" t="s">
        <v>239</v>
      </c>
      <c r="AV11" s="168">
        <f t="shared" si="21"/>
        <v>33</v>
      </c>
      <c r="AW11" s="168">
        <f>COUNTIF( AV$7:AV11, AV11 )</f>
        <v>2</v>
      </c>
      <c r="AX11" s="208">
        <f t="shared" si="22"/>
        <v>33.200000000000003</v>
      </c>
      <c r="AY11" s="168">
        <f t="shared" si="23"/>
        <v>34</v>
      </c>
      <c r="AZ11" s="169"/>
      <c r="BA11" s="169"/>
      <c r="BC11" s="168">
        <f t="shared" ca="1" si="24"/>
        <v>5</v>
      </c>
      <c r="BD11" s="209">
        <f t="shared" ca="1" si="6"/>
        <v>13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5.8823529411764705E-2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si="21"/>
        <v>33</v>
      </c>
      <c r="AW12" s="168">
        <f>COUNTIF( AV$7:AV12, AV12 )</f>
        <v>3</v>
      </c>
      <c r="AX12" s="208">
        <f t="shared" si="22"/>
        <v>33.299999999999997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3.9215686274509803E-2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220</v>
      </c>
      <c r="AR13" s="207" t="s">
        <v>145</v>
      </c>
      <c r="AS13" s="207">
        <v>19</v>
      </c>
      <c r="AT13" s="207" t="s">
        <v>221</v>
      </c>
      <c r="AV13" s="168">
        <f t="shared" si="21"/>
        <v>15</v>
      </c>
      <c r="AW13" s="168">
        <f>COUNTIF( AV$7:AV13, AV13 )</f>
        <v>3</v>
      </c>
      <c r="AX13" s="208">
        <f t="shared" si="22"/>
        <v>15.3</v>
      </c>
      <c r="AY13" s="168">
        <f t="shared" si="23"/>
        <v>17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51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18.843137254901961</v>
      </c>
      <c r="Z14" s="190"/>
      <c r="AA14" s="189">
        <f ca="1">SUM(AA8:AA13)</f>
        <v>51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250</v>
      </c>
      <c r="AR14" s="207" t="s">
        <v>146</v>
      </c>
      <c r="AS14" s="207">
        <v>18</v>
      </c>
      <c r="AT14" s="207" t="s">
        <v>251</v>
      </c>
      <c r="AV14" s="168">
        <f>IF( LEN( AS14 ) = 0, 99, RANK( AS14, $AS$7:$AS$63 ) )</f>
        <v>33</v>
      </c>
      <c r="AW14" s="168">
        <f>COUNTIF( AV$7:AV14, AV14 )</f>
        <v>4</v>
      </c>
      <c r="AX14" s="208">
        <f t="shared" si="22"/>
        <v>33.4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40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144</v>
      </c>
      <c r="AS15" s="207">
        <v>20</v>
      </c>
      <c r="AT15" s="207" t="s">
        <v>255</v>
      </c>
      <c r="AV15" s="168">
        <f t="shared" si="21"/>
        <v>2</v>
      </c>
      <c r="AW15" s="168">
        <f>COUNTIF( AV$7:AV15, AV15 )</f>
        <v>2</v>
      </c>
      <c r="AX15" s="208">
        <f t="shared" si="22"/>
        <v>2.2000000000000002</v>
      </c>
      <c r="AY15" s="168">
        <f t="shared" si="23"/>
        <v>3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MR</v>
      </c>
      <c r="F16" s="347"/>
      <c r="G16" s="348">
        <f t="shared" ca="1" si="1"/>
        <v>43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18.862745098039216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18.694444444444443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19.46153846153846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259</v>
      </c>
      <c r="AR16" s="207" t="s">
        <v>145</v>
      </c>
      <c r="AS16" s="207">
        <v>19</v>
      </c>
      <c r="AT16" s="207" t="s">
        <v>388</v>
      </c>
      <c r="AV16" s="168">
        <f t="shared" si="21"/>
        <v>15</v>
      </c>
      <c r="AW16" s="168">
        <f>COUNTIF( AV$7:AV16, AV16 )</f>
        <v>4</v>
      </c>
      <c r="AX16" s="208">
        <f t="shared" si="22"/>
        <v>15.4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355</v>
      </c>
      <c r="B18" s="224" t="s">
        <v>144</v>
      </c>
      <c r="C18" s="224">
        <v>20</v>
      </c>
      <c r="D18" s="224" t="s">
        <v>356</v>
      </c>
      <c r="E18" s="225" t="str">
        <f t="shared" ca="1" si="8"/>
        <v>MR</v>
      </c>
      <c r="F18" s="347"/>
      <c r="G18" s="348">
        <f t="shared" ca="1" si="1"/>
        <v>51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47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371</v>
      </c>
      <c r="AR19" s="207" t="s">
        <v>144</v>
      </c>
      <c r="AS19" s="207">
        <v>20</v>
      </c>
      <c r="AT19" s="207" t="s">
        <v>199</v>
      </c>
      <c r="AV19" s="168">
        <f t="shared" si="21"/>
        <v>2</v>
      </c>
      <c r="AW19" s="168">
        <f>COUNTIF( AV$7:AV19, AV19 )</f>
        <v>4</v>
      </c>
      <c r="AX19" s="208">
        <f t="shared" si="22"/>
        <v>2.4</v>
      </c>
      <c r="AY19" s="168">
        <f t="shared" si="23"/>
        <v>5</v>
      </c>
      <c r="AZ19" s="169"/>
      <c r="BA19" s="169"/>
      <c r="BC19" s="168">
        <f t="shared" ca="1" si="24"/>
        <v>13</v>
      </c>
      <c r="BD19" s="209">
        <f t="shared" ca="1" si="6"/>
        <v>49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264</v>
      </c>
      <c r="AR20" s="207" t="s">
        <v>180</v>
      </c>
      <c r="AS20" s="207">
        <v>15</v>
      </c>
      <c r="AT20" s="207" t="s">
        <v>265</v>
      </c>
      <c r="AV20" s="168">
        <f t="shared" si="21"/>
        <v>50</v>
      </c>
      <c r="AW20" s="168">
        <f>COUNTIF( AV$7:AV20, AV20 )</f>
        <v>1</v>
      </c>
      <c r="AX20" s="208">
        <f t="shared" si="22"/>
        <v>50.1</v>
      </c>
      <c r="AY20" s="168">
        <f t="shared" si="23"/>
        <v>50</v>
      </c>
      <c r="AZ20" s="169"/>
      <c r="BA20" s="169"/>
      <c r="BC20" s="168">
        <f t="shared" ca="1" si="24"/>
        <v>14</v>
      </c>
      <c r="BD20" s="209">
        <f t="shared" ca="1" si="6"/>
        <v>50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268</v>
      </c>
      <c r="AR22" s="207" t="s">
        <v>144</v>
      </c>
      <c r="AS22" s="207">
        <v>20</v>
      </c>
      <c r="AT22" s="207" t="s">
        <v>269</v>
      </c>
      <c r="AV22" s="168">
        <f t="shared" si="21"/>
        <v>2</v>
      </c>
      <c r="AW22" s="168">
        <f>COUNTIF( AV$7:AV22, AV22 )</f>
        <v>5</v>
      </c>
      <c r="AX22" s="208">
        <f t="shared" si="22"/>
        <v>2.5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220</v>
      </c>
      <c r="B23" s="224" t="s">
        <v>145</v>
      </c>
      <c r="C23" s="224">
        <v>19</v>
      </c>
      <c r="D23" s="224" t="s">
        <v>221</v>
      </c>
      <c r="E23" s="225" t="str">
        <f t="shared" ca="1" si="8"/>
        <v>MR</v>
      </c>
      <c r="F23" s="347"/>
      <c r="G23" s="348">
        <f t="shared" ca="1" si="1"/>
        <v>60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270</v>
      </c>
      <c r="AR23" s="207" t="s">
        <v>145</v>
      </c>
      <c r="AS23" s="207">
        <v>19</v>
      </c>
      <c r="AT23" s="207" t="s">
        <v>271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7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8" x14ac:dyDescent="0.25">
      <c r="A24" s="223" t="s">
        <v>259</v>
      </c>
      <c r="B24" s="224" t="s">
        <v>145</v>
      </c>
      <c r="C24" s="224">
        <v>19</v>
      </c>
      <c r="D24" s="224" t="s">
        <v>388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338</v>
      </c>
      <c r="AR24" s="207" t="s">
        <v>146</v>
      </c>
      <c r="AS24" s="207">
        <v>18</v>
      </c>
      <c r="AT24" s="207" t="s">
        <v>341</v>
      </c>
      <c r="AV24" s="168">
        <f t="shared" si="21"/>
        <v>33</v>
      </c>
      <c r="AW24" s="168">
        <f>COUNTIF( AV$7:AV24, AV24 )</f>
        <v>5</v>
      </c>
      <c r="AX24" s="208">
        <f t="shared" si="22"/>
        <v>33.5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377</v>
      </c>
      <c r="AR25" s="207" t="s">
        <v>146</v>
      </c>
      <c r="AS25" s="207">
        <v>18</v>
      </c>
      <c r="AT25" s="207" t="s">
        <v>378</v>
      </c>
      <c r="AV25" s="168">
        <f t="shared" si="21"/>
        <v>33</v>
      </c>
      <c r="AW25" s="168">
        <f>COUNTIF( AV$7:AV25, AV25 )</f>
        <v>6</v>
      </c>
      <c r="AX25" s="208">
        <f t="shared" si="22"/>
        <v>33.6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272</v>
      </c>
      <c r="AR26" s="207" t="s">
        <v>146</v>
      </c>
      <c r="AS26" s="207">
        <v>18</v>
      </c>
      <c r="AT26" s="207" t="s">
        <v>273</v>
      </c>
      <c r="AV26" s="168">
        <f t="shared" si="21"/>
        <v>33</v>
      </c>
      <c r="AW26" s="168">
        <f>COUNTIF( AV$7:AV26, AV26 )</f>
        <v>7</v>
      </c>
      <c r="AX26" s="208">
        <f t="shared" si="22"/>
        <v>33.700000000000003</v>
      </c>
      <c r="AY26" s="168">
        <f t="shared" si="23"/>
        <v>39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240</v>
      </c>
      <c r="AR27" s="207" t="s">
        <v>171</v>
      </c>
      <c r="AS27" s="207">
        <v>21</v>
      </c>
      <c r="AT27" s="207" t="s">
        <v>241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362</v>
      </c>
      <c r="B28" s="224" t="s">
        <v>145</v>
      </c>
      <c r="C28" s="224">
        <v>19</v>
      </c>
      <c r="D28" s="224" t="s">
        <v>363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274</v>
      </c>
      <c r="AR28" s="207" t="s">
        <v>146</v>
      </c>
      <c r="AS28" s="207">
        <v>18</v>
      </c>
      <c r="AT28" s="207" t="s">
        <v>275</v>
      </c>
      <c r="AV28" s="168">
        <f t="shared" si="21"/>
        <v>33</v>
      </c>
      <c r="AW28" s="168">
        <f>COUNTIF( AV$7:AV28, AV28 )</f>
        <v>8</v>
      </c>
      <c r="AX28" s="208">
        <f t="shared" si="22"/>
        <v>33.799999999999997</v>
      </c>
      <c r="AY28" s="168">
        <f t="shared" si="23"/>
        <v>40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280</v>
      </c>
      <c r="AR29" s="207" t="s">
        <v>147</v>
      </c>
      <c r="AS29" s="207">
        <v>17</v>
      </c>
      <c r="AT29" s="207" t="s">
        <v>281</v>
      </c>
      <c r="AV29" s="168">
        <f t="shared" si="21"/>
        <v>46</v>
      </c>
      <c r="AW29" s="168">
        <f>COUNTIF( AV$7:AV29, AV29 )</f>
        <v>1</v>
      </c>
      <c r="AX29" s="208">
        <f t="shared" si="22"/>
        <v>46.1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362</v>
      </c>
      <c r="AR30" s="207" t="s">
        <v>145</v>
      </c>
      <c r="AS30" s="207">
        <v>19</v>
      </c>
      <c r="AT30" s="207" t="s">
        <v>363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392</v>
      </c>
      <c r="B31" s="224" t="s">
        <v>145</v>
      </c>
      <c r="C31" s="224">
        <v>19</v>
      </c>
      <c r="D31" s="224" t="s">
        <v>393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284</v>
      </c>
      <c r="AR31" s="207" t="s">
        <v>147</v>
      </c>
      <c r="AS31" s="207">
        <v>17</v>
      </c>
      <c r="AT31" s="207" t="s">
        <v>285</v>
      </c>
      <c r="AV31" s="168">
        <f t="shared" si="21"/>
        <v>46</v>
      </c>
      <c r="AW31" s="168">
        <f>COUNTIF( AV$7:AV31, AV31 )</f>
        <v>2</v>
      </c>
      <c r="AX31" s="208">
        <f t="shared" si="22"/>
        <v>46.2</v>
      </c>
      <c r="AY31" s="168">
        <f t="shared" si="23"/>
        <v>47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8" x14ac:dyDescent="0.25">
      <c r="A32" s="223" t="s">
        <v>308</v>
      </c>
      <c r="B32" s="224" t="s">
        <v>145</v>
      </c>
      <c r="C32" s="224">
        <v>19</v>
      </c>
      <c r="D32" s="224" t="s">
        <v>309</v>
      </c>
      <c r="E32" s="225" t="str">
        <f t="shared" ca="1" si="8"/>
        <v>R</v>
      </c>
      <c r="F32" s="347"/>
      <c r="G32" s="348">
        <f t="shared" ca="1" si="1"/>
        <v>41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>
        <f t="shared" ca="1" si="3"/>
        <v>1</v>
      </c>
      <c r="AH32" s="169" t="str">
        <f t="shared" ca="1" si="18"/>
        <v/>
      </c>
      <c r="AJ32" s="169">
        <f t="shared" ca="1" si="19"/>
        <v>50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4"/>
        <v>Change</v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33</v>
      </c>
      <c r="AW32" s="168">
        <f>COUNTIF( AV$7:AV32, AV32 )</f>
        <v>9</v>
      </c>
      <c r="AX32" s="208">
        <f t="shared" si="22"/>
        <v>33.9</v>
      </c>
      <c r="AY32" s="168">
        <f t="shared" si="23"/>
        <v>41</v>
      </c>
      <c r="AZ32" s="169"/>
      <c r="BA32" s="169"/>
      <c r="BC32" s="168">
        <f t="shared" ca="1" si="24"/>
        <v>26</v>
      </c>
      <c r="BD32" s="209">
        <f t="shared" ca="1" si="6"/>
        <v>37</v>
      </c>
      <c r="BF32" s="173" t="str">
        <f t="shared" ca="1" si="7"/>
        <v>PNM Resources,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PNM</v>
      </c>
    </row>
    <row r="33" spans="1:61" ht="13.8" x14ac:dyDescent="0.2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49</v>
      </c>
      <c r="AW33" s="168">
        <f>COUNTIF( AV$7:AV33, AV33 )</f>
        <v>1</v>
      </c>
      <c r="AX33" s="208">
        <f t="shared" si="22"/>
        <v>49.1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6"/>
        <v>40</v>
      </c>
      <c r="BF33" s="173" t="str">
        <f t="shared" ca="1" si="7"/>
        <v>Public Service Enterprise Group Incorporated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PEG</v>
      </c>
    </row>
    <row r="34" spans="1:61" ht="13.8" x14ac:dyDescent="0.25">
      <c r="A34" s="223" t="s">
        <v>357</v>
      </c>
      <c r="B34" s="224" t="s">
        <v>145</v>
      </c>
      <c r="C34" s="224">
        <v>19</v>
      </c>
      <c r="D34" s="224" t="s">
        <v>358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SCANA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SCG</v>
      </c>
    </row>
    <row r="35" spans="1:61" ht="13.8" x14ac:dyDescent="0.25">
      <c r="A35" s="223" t="s">
        <v>296</v>
      </c>
      <c r="B35" s="224" t="s">
        <v>145</v>
      </c>
      <c r="C35" s="224">
        <v>19</v>
      </c>
      <c r="D35" s="224" t="s">
        <v>297</v>
      </c>
      <c r="E35" s="225" t="str">
        <f t="shared" ca="1" si="8"/>
        <v>MR</v>
      </c>
      <c r="F35" s="347"/>
      <c r="G35" s="348">
        <f t="shared" ca="1" si="1"/>
        <v>46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43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ht="13.8" x14ac:dyDescent="0.25">
      <c r="A36" s="223" t="s">
        <v>379</v>
      </c>
      <c r="B36" s="224" t="s">
        <v>145</v>
      </c>
      <c r="C36" s="224">
        <v>19</v>
      </c>
      <c r="D36" s="224" t="s">
        <v>385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TECO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TE</v>
      </c>
    </row>
    <row r="37" spans="1:61" ht="13.8" x14ac:dyDescent="0.25">
      <c r="A37" s="223" t="s">
        <v>300</v>
      </c>
      <c r="B37" s="224" t="s">
        <v>145</v>
      </c>
      <c r="C37" s="224">
        <v>19</v>
      </c>
      <c r="D37" s="224" t="s">
        <v>301</v>
      </c>
      <c r="E37" s="225" t="str">
        <f t="shared" ca="1" si="8"/>
        <v>R</v>
      </c>
      <c r="F37" s="347"/>
      <c r="G37" s="348">
        <f t="shared" ca="1" si="1"/>
        <v>50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33</v>
      </c>
      <c r="AW37" s="168">
        <f>COUNTIF( AV$7:AV37, AV37 )</f>
        <v>10</v>
      </c>
      <c r="AX37" s="208">
        <f t="shared" si="22"/>
        <v>34</v>
      </c>
      <c r="AY37" s="168">
        <f t="shared" si="23"/>
        <v>42</v>
      </c>
      <c r="AZ37" s="169"/>
      <c r="BA37" s="169"/>
      <c r="BC37" s="168">
        <f t="shared" ca="1" si="24"/>
        <v>31</v>
      </c>
      <c r="BD37" s="209">
        <f t="shared" ca="1" si="6"/>
        <v>46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*UTL</v>
      </c>
    </row>
    <row r="38" spans="1:61" ht="13.8" x14ac:dyDescent="0.25">
      <c r="A38" s="223" t="s">
        <v>364</v>
      </c>
      <c r="B38" s="224" t="s">
        <v>145</v>
      </c>
      <c r="C38" s="224">
        <v>19</v>
      </c>
      <c r="D38" s="224" t="s">
        <v>365</v>
      </c>
      <c r="E38" s="225" t="str">
        <f t="shared" ca="1" si="8"/>
        <v>R</v>
      </c>
      <c r="F38" s="347"/>
      <c r="G38" s="348">
        <f t="shared" ca="1" si="1"/>
        <v>52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48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ht="13.8" x14ac:dyDescent="0.25">
      <c r="A39" s="223" t="s">
        <v>227</v>
      </c>
      <c r="B39" s="224" t="s">
        <v>146</v>
      </c>
      <c r="C39" s="224">
        <v>18</v>
      </c>
      <c r="D39" s="224" t="s">
        <v>228</v>
      </c>
      <c r="E39" s="225" t="str">
        <f t="shared" ca="1" si="8"/>
        <v>R</v>
      </c>
      <c r="F39" s="347"/>
      <c r="G39" s="348">
        <f t="shared" ca="1" si="1"/>
        <v>10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33</v>
      </c>
      <c r="AW39" s="168">
        <f>COUNTIF( AV$7:AV39, AV39 )</f>
        <v>11</v>
      </c>
      <c r="AX39" s="208">
        <f t="shared" si="22"/>
        <v>34.1</v>
      </c>
      <c r="AY39" s="168">
        <f t="shared" si="23"/>
        <v>43</v>
      </c>
      <c r="AZ39" s="169"/>
      <c r="BA39" s="169"/>
      <c r="BC39" s="168">
        <f t="shared" ca="1" si="24"/>
        <v>33</v>
      </c>
      <c r="BD39" s="209">
        <f t="shared" ca="1" si="6"/>
        <v>4</v>
      </c>
      <c r="BF39" s="173" t="str">
        <f t="shared" ref="BF39:BI63" ca="1" si="25">OFFSET( AQ$6, $BD39, 0 )</f>
        <v>American Electric Power Company,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AEP</v>
      </c>
    </row>
    <row r="40" spans="1:61" ht="13.8" x14ac:dyDescent="0.25">
      <c r="A40" s="223" t="s">
        <v>391</v>
      </c>
      <c r="B40" s="224" t="s">
        <v>146</v>
      </c>
      <c r="C40" s="224">
        <v>18</v>
      </c>
      <c r="D40" s="224" t="s">
        <v>239</v>
      </c>
      <c r="E40" s="225" t="str">
        <f t="shared" ca="1" si="8"/>
        <v>R</v>
      </c>
      <c r="F40" s="347"/>
      <c r="G40" s="348">
        <f t="shared" ca="1" si="1"/>
        <v>56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45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392</v>
      </c>
      <c r="AR40" s="207" t="s">
        <v>145</v>
      </c>
      <c r="AS40" s="207">
        <v>19</v>
      </c>
      <c r="AT40" s="207" t="s">
        <v>393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5</v>
      </c>
      <c r="BF40" s="173" t="str">
        <f t="shared" ca="1" si="25"/>
        <v xml:space="preserve">AVANGRID, Inc. 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AGR</v>
      </c>
    </row>
    <row r="41" spans="1:61" ht="13.8" x14ac:dyDescent="0.25">
      <c r="A41" s="223" t="s">
        <v>243</v>
      </c>
      <c r="B41" s="224" t="s">
        <v>146</v>
      </c>
      <c r="C41" s="224">
        <v>18</v>
      </c>
      <c r="D41" s="224" t="s">
        <v>244</v>
      </c>
      <c r="E41" s="225" t="str">
        <f t="shared" ca="1" si="8"/>
        <v>R</v>
      </c>
      <c r="F41" s="347"/>
      <c r="G41" s="348">
        <f t="shared" ca="1" si="1"/>
        <v>11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306</v>
      </c>
      <c r="AR41" s="207" t="s">
        <v>146</v>
      </c>
      <c r="AS41" s="207">
        <v>18</v>
      </c>
      <c r="AT41" s="207" t="s">
        <v>307</v>
      </c>
      <c r="AV41" s="168">
        <f t="shared" si="21"/>
        <v>33</v>
      </c>
      <c r="AW41" s="168">
        <f>COUNTIF( AV$7:AV41, AV41 )</f>
        <v>12</v>
      </c>
      <c r="AX41" s="208">
        <f t="shared" si="22"/>
        <v>34.200000000000003</v>
      </c>
      <c r="AY41" s="168">
        <f t="shared" si="23"/>
        <v>44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250</v>
      </c>
      <c r="B42" s="224" t="s">
        <v>146</v>
      </c>
      <c r="C42" s="224">
        <v>18</v>
      </c>
      <c r="D42" s="224" t="s">
        <v>251</v>
      </c>
      <c r="E42" s="225" t="str">
        <f t="shared" ca="1" si="8"/>
        <v>R</v>
      </c>
      <c r="F42" s="347"/>
      <c r="G42" s="348">
        <f t="shared" ca="1" si="1"/>
        <v>12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286</v>
      </c>
      <c r="AR42" s="207" t="s">
        <v>144</v>
      </c>
      <c r="AS42" s="207">
        <v>20</v>
      </c>
      <c r="AT42" s="207" t="s">
        <v>287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338</v>
      </c>
      <c r="B43" s="224" t="s">
        <v>146</v>
      </c>
      <c r="C43" s="224">
        <v>18</v>
      </c>
      <c r="D43" s="224" t="s">
        <v>341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308</v>
      </c>
      <c r="AR43" s="207" t="s">
        <v>145</v>
      </c>
      <c r="AS43" s="207">
        <v>19</v>
      </c>
      <c r="AT43" s="207" t="s">
        <v>309</v>
      </c>
      <c r="AV43" s="168">
        <f t="shared" si="21"/>
        <v>15</v>
      </c>
      <c r="AW43" s="168">
        <f>COUNTIF( AV$7:AV43, AV43 )</f>
        <v>12</v>
      </c>
      <c r="AX43" s="208">
        <f t="shared" si="22"/>
        <v>16.2</v>
      </c>
      <c r="AY43" s="168">
        <f t="shared" si="23"/>
        <v>26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377</v>
      </c>
      <c r="B44" s="224" t="s">
        <v>146</v>
      </c>
      <c r="C44" s="224">
        <v>18</v>
      </c>
      <c r="D44" s="224" t="s">
        <v>378</v>
      </c>
      <c r="E44" s="225" t="str">
        <f t="shared" ca="1" si="8"/>
        <v>R</v>
      </c>
      <c r="F44" s="347"/>
      <c r="G44" s="348">
        <f t="shared" ca="1" si="1"/>
        <v>22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290</v>
      </c>
      <c r="AR44" s="207" t="s">
        <v>146</v>
      </c>
      <c r="AS44" s="207">
        <v>18</v>
      </c>
      <c r="AT44" s="207" t="s">
        <v>291</v>
      </c>
      <c r="AV44" s="168">
        <f t="shared" si="21"/>
        <v>33</v>
      </c>
      <c r="AW44" s="168">
        <f>COUNTIF( AV$7:AV44, AV44 )</f>
        <v>13</v>
      </c>
      <c r="AX44" s="208">
        <f t="shared" si="22"/>
        <v>34.299999999999997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8" x14ac:dyDescent="0.25">
      <c r="A45" s="223" t="s">
        <v>272</v>
      </c>
      <c r="B45" s="224" t="s">
        <v>146</v>
      </c>
      <c r="C45" s="224">
        <v>18</v>
      </c>
      <c r="D45" s="224" t="s">
        <v>273</v>
      </c>
      <c r="E45" s="225" t="str">
        <f t="shared" ca="1" si="8"/>
        <v>R</v>
      </c>
      <c r="F45" s="347"/>
      <c r="G45" s="348">
        <f t="shared" ca="1" si="1"/>
        <v>23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248</v>
      </c>
      <c r="AR45" s="207" t="s">
        <v>144</v>
      </c>
      <c r="AS45" s="207">
        <v>20</v>
      </c>
      <c r="AT45" s="207" t="s">
        <v>249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20</v>
      </c>
      <c r="BF45" s="173" t="str">
        <f t="shared" ca="1" si="25"/>
        <v>Entergy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ETR</v>
      </c>
    </row>
    <row r="46" spans="1:61" ht="13.8" x14ac:dyDescent="0.25">
      <c r="A46" s="223" t="s">
        <v>274</v>
      </c>
      <c r="B46" s="224" t="s">
        <v>146</v>
      </c>
      <c r="C46" s="224">
        <v>18</v>
      </c>
      <c r="D46" s="224" t="s">
        <v>275</v>
      </c>
      <c r="E46" s="225" t="str">
        <f t="shared" ca="1" si="8"/>
        <v>MR</v>
      </c>
      <c r="F46" s="347"/>
      <c r="G46" s="348">
        <f t="shared" ca="1" si="1"/>
        <v>24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294</v>
      </c>
      <c r="AR46" s="207" t="s">
        <v>145</v>
      </c>
      <c r="AS46" s="207">
        <v>19</v>
      </c>
      <c r="AT46" s="207" t="s">
        <v>295</v>
      </c>
      <c r="AV46" s="168">
        <f t="shared" si="21"/>
        <v>15</v>
      </c>
      <c r="AW46" s="168">
        <f>COUNTIF( AV$7:AV46, AV46 )</f>
        <v>13</v>
      </c>
      <c r="AX46" s="208">
        <f t="shared" si="22"/>
        <v>16.3</v>
      </c>
      <c r="AY46" s="168">
        <f t="shared" si="23"/>
        <v>27</v>
      </c>
      <c r="AZ46" s="169"/>
      <c r="BA46" s="169"/>
      <c r="BC46" s="168">
        <f t="shared" ca="1" si="24"/>
        <v>40</v>
      </c>
      <c r="BD46" s="209">
        <f t="shared" ca="1" si="6"/>
        <v>22</v>
      </c>
      <c r="BF46" s="173" t="str">
        <f t="shared" ca="1" si="25"/>
        <v>Exelon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EXC</v>
      </c>
    </row>
    <row r="47" spans="1:61" ht="13.8" x14ac:dyDescent="0.25">
      <c r="A47" s="223" t="s">
        <v>288</v>
      </c>
      <c r="B47" s="224" t="s">
        <v>146</v>
      </c>
      <c r="C47" s="224">
        <v>18</v>
      </c>
      <c r="D47" s="224" t="s">
        <v>289</v>
      </c>
      <c r="E47" s="225" t="str">
        <f t="shared" ca="1" si="8"/>
        <v>R</v>
      </c>
      <c r="F47" s="347"/>
      <c r="G47" s="348">
        <f t="shared" ca="1" si="1"/>
        <v>28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310</v>
      </c>
      <c r="AR47" s="207" t="s">
        <v>147</v>
      </c>
      <c r="AS47" s="207">
        <v>17</v>
      </c>
      <c r="AT47" s="207" t="s">
        <v>311</v>
      </c>
      <c r="AV47" s="168">
        <f t="shared" si="21"/>
        <v>46</v>
      </c>
      <c r="AW47" s="168">
        <f>COUNTIF( AV$7:AV47, AV47 )</f>
        <v>3</v>
      </c>
      <c r="AX47" s="208">
        <f t="shared" si="22"/>
        <v>46.3</v>
      </c>
      <c r="AY47" s="168">
        <f t="shared" si="23"/>
        <v>48</v>
      </c>
      <c r="AZ47" s="169"/>
      <c r="BA47" s="169"/>
      <c r="BC47" s="168">
        <f t="shared" ca="1" si="24"/>
        <v>41</v>
      </c>
      <c r="BD47" s="209">
        <f t="shared" ca="1" si="6"/>
        <v>26</v>
      </c>
      <c r="BF47" s="173" t="str">
        <f t="shared" ca="1" si="25"/>
        <v>IDACORP, Inc.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IDA</v>
      </c>
    </row>
    <row r="48" spans="1:61" ht="13.8" x14ac:dyDescent="0.25">
      <c r="A48" s="223" t="s">
        <v>302</v>
      </c>
      <c r="B48" s="224" t="s">
        <v>146</v>
      </c>
      <c r="C48" s="224">
        <v>18</v>
      </c>
      <c r="D48" s="224" t="s">
        <v>303</v>
      </c>
      <c r="E48" s="225" t="str">
        <f t="shared" ca="1" si="8"/>
        <v>R</v>
      </c>
      <c r="F48" s="347"/>
      <c r="G48" s="348">
        <f t="shared" ca="1" si="1"/>
        <v>35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357</v>
      </c>
      <c r="AR48" s="207" t="s">
        <v>145</v>
      </c>
      <c r="AS48" s="207">
        <v>19</v>
      </c>
      <c r="AT48" s="207" t="s">
        <v>358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31</v>
      </c>
      <c r="BF48" s="173" t="str">
        <f t="shared" ca="1" si="25"/>
        <v>NorthWestern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NWE</v>
      </c>
    </row>
    <row r="49" spans="1:61" ht="13.8" x14ac:dyDescent="0.25">
      <c r="A49" s="223" t="s">
        <v>304</v>
      </c>
      <c r="B49" s="224" t="s">
        <v>146</v>
      </c>
      <c r="C49" s="224">
        <v>18</v>
      </c>
      <c r="D49" s="224" t="s">
        <v>305</v>
      </c>
      <c r="E49" s="225" t="str">
        <f t="shared" ca="1" si="8"/>
        <v>R</v>
      </c>
      <c r="F49" s="347"/>
      <c r="G49" s="348">
        <f t="shared" ca="1" si="1"/>
        <v>37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296</v>
      </c>
      <c r="AR49" s="207" t="s">
        <v>145</v>
      </c>
      <c r="AS49" s="207">
        <v>19</v>
      </c>
      <c r="AT49" s="207" t="s">
        <v>297</v>
      </c>
      <c r="AV49" s="168">
        <f t="shared" si="21"/>
        <v>15</v>
      </c>
      <c r="AW49" s="168">
        <f>COUNTIF( AV$7:AV49, AV49 )</f>
        <v>15</v>
      </c>
      <c r="AX49" s="208">
        <f t="shared" si="22"/>
        <v>16.5</v>
      </c>
      <c r="AY49" s="168">
        <f t="shared" si="23"/>
        <v>29</v>
      </c>
      <c r="AZ49" s="169"/>
      <c r="BA49" s="169"/>
      <c r="BC49" s="168">
        <f t="shared" ca="1" si="24"/>
        <v>43</v>
      </c>
      <c r="BD49" s="209">
        <f t="shared" ca="1" si="6"/>
        <v>33</v>
      </c>
      <c r="BF49" s="173" t="str">
        <f t="shared" ca="1" si="25"/>
        <v>Otter Tail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OTTR</v>
      </c>
    </row>
    <row r="50" spans="1:61" ht="13.8" x14ac:dyDescent="0.25">
      <c r="A50" s="223" t="s">
        <v>306</v>
      </c>
      <c r="B50" s="224" t="s">
        <v>146</v>
      </c>
      <c r="C50" s="224">
        <v>18</v>
      </c>
      <c r="D50" s="224" t="s">
        <v>307</v>
      </c>
      <c r="E50" s="225" t="str">
        <f t="shared" ca="1" si="8"/>
        <v>R</v>
      </c>
      <c r="F50" s="347"/>
      <c r="G50" s="348">
        <f t="shared" ca="1" si="1"/>
        <v>39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298</v>
      </c>
      <c r="AR50" s="207" t="s">
        <v>144</v>
      </c>
      <c r="AS50" s="207">
        <v>20</v>
      </c>
      <c r="AT50" s="207" t="s">
        <v>299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35</v>
      </c>
      <c r="BF50" s="173" t="str">
        <f t="shared" ca="1" si="25"/>
        <v>PG&amp;E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PCG</v>
      </c>
    </row>
    <row r="51" spans="1:61" ht="13.8" x14ac:dyDescent="0.25">
      <c r="A51" s="223" t="s">
        <v>290</v>
      </c>
      <c r="B51" s="224" t="s">
        <v>146</v>
      </c>
      <c r="C51" s="224">
        <v>18</v>
      </c>
      <c r="D51" s="224" t="s">
        <v>291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379</v>
      </c>
      <c r="AR51" s="207" t="s">
        <v>145</v>
      </c>
      <c r="AS51" s="207">
        <v>19</v>
      </c>
      <c r="AT51" s="207" t="s">
        <v>385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8" x14ac:dyDescent="0.2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300</v>
      </c>
      <c r="AR52" s="207" t="s">
        <v>145</v>
      </c>
      <c r="AS52" s="207">
        <v>19</v>
      </c>
      <c r="AT52" s="207" t="s">
        <v>386</v>
      </c>
      <c r="AV52" s="168">
        <f t="shared" si="21"/>
        <v>15</v>
      </c>
      <c r="AW52" s="168">
        <f>COUNTIF( AV$7:AV52, AV52 )</f>
        <v>17</v>
      </c>
      <c r="AX52" s="208">
        <f t="shared" si="22"/>
        <v>16.7</v>
      </c>
      <c r="AY52" s="168">
        <f t="shared" si="23"/>
        <v>31</v>
      </c>
      <c r="AZ52" s="169"/>
      <c r="BA52" s="169"/>
      <c r="BC52" s="168">
        <f t="shared" ca="1" si="24"/>
        <v>46</v>
      </c>
      <c r="BD52" s="209">
        <f t="shared" ca="1" si="6"/>
        <v>23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355</v>
      </c>
      <c r="AR53" s="207" t="s">
        <v>144</v>
      </c>
      <c r="AS53" s="207">
        <v>20</v>
      </c>
      <c r="AT53" s="207" t="s">
        <v>356</v>
      </c>
      <c r="AV53" s="168">
        <f t="shared" si="21"/>
        <v>2</v>
      </c>
      <c r="AW53" s="168">
        <f>COUNTIF( AV$7:AV53, AV53 )</f>
        <v>11</v>
      </c>
      <c r="AX53" s="208">
        <f t="shared" si="22"/>
        <v>3.1</v>
      </c>
      <c r="AY53" s="168">
        <f t="shared" si="23"/>
        <v>12</v>
      </c>
      <c r="AZ53" s="169"/>
      <c r="BA53" s="169"/>
      <c r="BC53" s="168">
        <f t="shared" ca="1" si="24"/>
        <v>47</v>
      </c>
      <c r="BD53" s="209">
        <f t="shared" ca="1" si="6"/>
        <v>25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310</v>
      </c>
      <c r="B54" s="224" t="s">
        <v>147</v>
      </c>
      <c r="C54" s="224">
        <v>17</v>
      </c>
      <c r="D54" s="224" t="s">
        <v>311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364</v>
      </c>
      <c r="AR54" s="207" t="s">
        <v>145</v>
      </c>
      <c r="AS54" s="207">
        <v>19</v>
      </c>
      <c r="AT54" s="207" t="s">
        <v>365</v>
      </c>
      <c r="AV54" s="168">
        <f t="shared" si="21"/>
        <v>15</v>
      </c>
      <c r="AW54" s="168">
        <f>COUNTIF( AV$7:AV54, AV54 )</f>
        <v>18</v>
      </c>
      <c r="AX54" s="208">
        <f t="shared" si="22"/>
        <v>16.8</v>
      </c>
      <c r="AY54" s="168">
        <f t="shared" si="23"/>
        <v>32</v>
      </c>
      <c r="AZ54" s="169"/>
      <c r="BA54" s="169"/>
      <c r="BC54" s="168">
        <f t="shared" ca="1" si="24"/>
        <v>48</v>
      </c>
      <c r="BD54" s="209">
        <f t="shared" ca="1" si="6"/>
        <v>41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8" x14ac:dyDescent="0.25">
      <c r="A55" s="223" t="s">
        <v>292</v>
      </c>
      <c r="B55" s="224" t="s">
        <v>178</v>
      </c>
      <c r="C55" s="224">
        <v>16</v>
      </c>
      <c r="D55" s="224" t="s">
        <v>293</v>
      </c>
      <c r="E55" s="225" t="str">
        <f t="shared" ca="1" si="8"/>
        <v>R</v>
      </c>
      <c r="F55" s="347"/>
      <c r="G55" s="348">
        <f t="shared" ca="1" si="1"/>
        <v>59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4"/>
        <v/>
      </c>
      <c r="AQ55" s="207" t="s">
        <v>252</v>
      </c>
      <c r="AR55" s="207" t="s">
        <v>144</v>
      </c>
      <c r="AS55" s="207">
        <v>20</v>
      </c>
      <c r="AT55" s="207" t="s">
        <v>253</v>
      </c>
      <c r="AV55" s="168">
        <f t="shared" si="21"/>
        <v>2</v>
      </c>
      <c r="AW55" s="168">
        <f>COUNTIF( AV$7:AV55, AV55 )</f>
        <v>12</v>
      </c>
      <c r="AX55" s="208">
        <f t="shared" si="22"/>
        <v>3.2</v>
      </c>
      <c r="AY55" s="168">
        <f t="shared" si="23"/>
        <v>13</v>
      </c>
      <c r="AZ55" s="169"/>
      <c r="BA55" s="169"/>
      <c r="BC55" s="168">
        <f t="shared" ca="1" si="24"/>
        <v>49</v>
      </c>
      <c r="BD55" s="209">
        <f t="shared" ca="1" si="6"/>
        <v>27</v>
      </c>
      <c r="BF55" s="173" t="str">
        <f t="shared" ca="1" si="25"/>
        <v>IPALCO Enterprises, Inc.</v>
      </c>
      <c r="BG55" s="173" t="str">
        <f t="shared" ca="1" si="25"/>
        <v>BB+</v>
      </c>
      <c r="BH55" s="173">
        <f t="shared" ca="1" si="25"/>
        <v>16</v>
      </c>
      <c r="BI55" s="173" t="str">
        <f t="shared" ca="1" si="25"/>
        <v>**IPALCO</v>
      </c>
    </row>
    <row r="56" spans="1:61" ht="13.8" x14ac:dyDescent="0.25">
      <c r="A56" s="223" t="s">
        <v>264</v>
      </c>
      <c r="B56" s="224" t="s">
        <v>180</v>
      </c>
      <c r="C56" s="224">
        <v>15</v>
      </c>
      <c r="D56" s="224" t="s">
        <v>265</v>
      </c>
      <c r="E56" s="225" t="str">
        <f t="shared" ca="1" si="8"/>
        <v>R</v>
      </c>
      <c r="F56" s="347"/>
      <c r="G56" s="348">
        <f t="shared" ca="1" si="1"/>
        <v>57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</v>
      </c>
      <c r="AL56" s="169">
        <f t="shared" ca="1" si="20"/>
        <v>15</v>
      </c>
      <c r="AM56" s="169" t="str">
        <f t="shared" ca="1" si="4"/>
        <v/>
      </c>
      <c r="AQ56" s="207" t="s">
        <v>256</v>
      </c>
      <c r="AR56" s="207" t="s">
        <v>144</v>
      </c>
      <c r="AS56" s="207">
        <v>20</v>
      </c>
      <c r="AT56" s="207" t="s">
        <v>257</v>
      </c>
      <c r="AV56" s="168">
        <f t="shared" si="21"/>
        <v>2</v>
      </c>
      <c r="AW56" s="168">
        <f>COUNTIF( AV$7:AV56, AV56 )</f>
        <v>13</v>
      </c>
      <c r="AX56" s="208">
        <f t="shared" si="22"/>
        <v>3.3</v>
      </c>
      <c r="AY56" s="168">
        <f t="shared" si="23"/>
        <v>14</v>
      </c>
      <c r="AZ56" s="169"/>
      <c r="BA56" s="169"/>
      <c r="BC56" s="168">
        <f t="shared" ca="1" si="24"/>
        <v>50</v>
      </c>
      <c r="BD56" s="209">
        <f t="shared" ca="1" si="6"/>
        <v>14</v>
      </c>
      <c r="BF56" s="173" t="str">
        <f t="shared" ca="1" si="25"/>
        <v>DPL Inc.</v>
      </c>
      <c r="BG56" s="173" t="str">
        <f t="shared" ca="1" si="25"/>
        <v>BB</v>
      </c>
      <c r="BH56" s="173">
        <f t="shared" ca="1" si="25"/>
        <v>15</v>
      </c>
      <c r="BI56" s="173" t="str">
        <f t="shared" ca="1" si="25"/>
        <v>**DPL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1</v>
      </c>
      <c r="AX57" s="208">
        <f t="shared" si="22"/>
        <v>99.1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2</v>
      </c>
      <c r="AX58" s="208">
        <f t="shared" si="22"/>
        <v>99.2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3</v>
      </c>
      <c r="AX59" s="208">
        <f t="shared" si="22"/>
        <v>99.3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4</v>
      </c>
      <c r="AX60" s="208">
        <f t="shared" si="22"/>
        <v>99.4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394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5</v>
      </c>
      <c r="AX61" s="208">
        <f t="shared" si="22"/>
        <v>99.5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D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6</v>
      </c>
      <c r="AX62" s="208">
        <f t="shared" si="22"/>
        <v>99.6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7</v>
      </c>
      <c r="AX63" s="208">
        <f t="shared" si="22"/>
        <v>99.7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18.862745098039216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18.843137254901961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-- 2015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Reg_Percent_2014</v>
      </c>
      <c r="G2" s="172" t="s">
        <v>389</v>
      </c>
      <c r="AJ2" s="173" t="str">
        <f>AJ4 &amp; AJ3</f>
        <v>'Credit_2015Q2'!d:d</v>
      </c>
      <c r="AK2" s="173" t="str">
        <f>AK4 &amp; AK3</f>
        <v>'Credit_2015Q2'!b1</v>
      </c>
      <c r="AL2" s="173" t="str">
        <f>AL4 &amp; AL3</f>
        <v>'Credit_2015Q2'!c1</v>
      </c>
      <c r="AQ2" s="169"/>
    </row>
    <row r="3" spans="1:61" ht="18" hidden="1" outlineLevel="1" x14ac:dyDescent="0.25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'Credit_2015Q2'!</v>
      </c>
      <c r="AK4" s="169" t="str">
        <f t="shared" ref="AK4:AL4" si="0">$AQ$5</f>
        <v>'Credit_2015Q2'!</v>
      </c>
      <c r="AL4" s="169" t="str">
        <f t="shared" si="0"/>
        <v>'Credit_2015Q2'!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(52)</v>
      </c>
      <c r="M5" s="374"/>
      <c r="N5" s="230"/>
      <c r="O5" s="372" t="str">
        <f ca="1">"Regulated" &amp; CHAR( 10 ) &amp; "(" &amp; O14 &amp; ")"</f>
        <v>Regulated
(37)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395</v>
      </c>
    </row>
    <row r="6" spans="1:61" ht="28.5" customHeight="1" x14ac:dyDescent="0.25">
      <c r="A6" s="219" t="s">
        <v>217</v>
      </c>
      <c r="B6" s="220" t="s">
        <v>62</v>
      </c>
      <c r="C6" s="249" t="s">
        <v>219</v>
      </c>
      <c r="D6" s="221"/>
      <c r="E6" s="222">
        <f ca="1">INDIRECT( E3 &amp; G1 )</f>
        <v>42004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171</v>
      </c>
      <c r="C7" s="224">
        <v>21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3.8461538461538464E-2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2.7027027027027029E-2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13</v>
      </c>
      <c r="M9" s="216">
        <f t="shared" si="10"/>
        <v>0.25</v>
      </c>
      <c r="N9" s="234"/>
      <c r="O9" s="215">
        <f t="shared" ca="1" si="11"/>
        <v>8</v>
      </c>
      <c r="P9" s="216">
        <f t="shared" ca="1" si="12"/>
        <v>0.21621621621621623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268</v>
      </c>
      <c r="B12" s="224" t="s">
        <v>144</v>
      </c>
      <c r="C12" s="224">
        <v>20</v>
      </c>
      <c r="D12" s="224" t="s">
        <v>269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15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282</v>
      </c>
      <c r="B14" s="224" t="s">
        <v>144</v>
      </c>
      <c r="C14" s="224">
        <v>20</v>
      </c>
      <c r="D14" s="224" t="s">
        <v>283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18.807692307692307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286</v>
      </c>
      <c r="B15" s="224" t="s">
        <v>144</v>
      </c>
      <c r="C15" s="224">
        <v>20</v>
      </c>
      <c r="D15" s="224" t="s">
        <v>287</v>
      </c>
      <c r="E15" s="225" t="str">
        <f t="shared" ca="1" si="8"/>
        <v>R</v>
      </c>
      <c r="F15" s="347"/>
      <c r="G15" s="348">
        <f t="shared" ca="1" si="1"/>
        <v>40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388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248</v>
      </c>
      <c r="B16" s="224" t="s">
        <v>144</v>
      </c>
      <c r="C16" s="224">
        <v>20</v>
      </c>
      <c r="D16" s="224" t="s">
        <v>249</v>
      </c>
      <c r="E16" s="225" t="str">
        <f t="shared" ca="1" si="8"/>
        <v>MR</v>
      </c>
      <c r="F16" s="347"/>
      <c r="G16" s="348">
        <f t="shared" ca="1" si="1"/>
        <v>43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18.826923076923077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18.648648648648649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19.46153846153846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145</v>
      </c>
      <c r="AS16" s="207">
        <v>19</v>
      </c>
      <c r="AT16" s="207" t="s">
        <v>262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298</v>
      </c>
      <c r="B17" s="224" t="s">
        <v>144</v>
      </c>
      <c r="C17" s="224">
        <v>20</v>
      </c>
      <c r="D17" s="224" t="s">
        <v>299</v>
      </c>
      <c r="E17" s="225" t="str">
        <f t="shared" ca="1" si="8"/>
        <v>R</v>
      </c>
      <c r="F17" s="347"/>
      <c r="G17" s="348">
        <f t="shared" ca="1" si="1"/>
        <v>47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>
        <f t="shared" ca="1" si="18"/>
        <v>1</v>
      </c>
      <c r="AJ17" s="169">
        <f t="shared" ca="1" si="19"/>
        <v>8</v>
      </c>
      <c r="AK17" s="169" t="str">
        <f t="shared" ca="1" si="20"/>
        <v>A</v>
      </c>
      <c r="AL17" s="169">
        <f t="shared" ca="1" si="20"/>
        <v>21</v>
      </c>
      <c r="AM17" s="169" t="str">
        <f t="shared" ca="1" si="4"/>
        <v>Change</v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355</v>
      </c>
      <c r="B18" s="224" t="s">
        <v>144</v>
      </c>
      <c r="C18" s="224">
        <v>20</v>
      </c>
      <c r="D18" s="224" t="s">
        <v>356</v>
      </c>
      <c r="E18" s="225" t="str">
        <f t="shared" ca="1" si="8"/>
        <v>MR</v>
      </c>
      <c r="F18" s="347"/>
      <c r="G18" s="348">
        <f t="shared" ca="1" si="1"/>
        <v>51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371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396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WEC Energy Group,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144</v>
      </c>
      <c r="AS21" s="207">
        <v>20</v>
      </c>
      <c r="AT21" s="207" t="s">
        <v>269</v>
      </c>
      <c r="AV21" s="168">
        <f t="shared" si="21"/>
        <v>2</v>
      </c>
      <c r="AW21" s="168">
        <f>COUNTIF( AV$7:AV21, AV21 )</f>
        <v>5</v>
      </c>
      <c r="AX21" s="208">
        <f t="shared" si="22"/>
        <v>2.5</v>
      </c>
      <c r="AY21" s="168">
        <f t="shared" si="23"/>
        <v>6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220</v>
      </c>
      <c r="B23" s="224" t="s">
        <v>145</v>
      </c>
      <c r="C23" s="224">
        <v>19</v>
      </c>
      <c r="D23" s="224" t="s">
        <v>221</v>
      </c>
      <c r="E23" s="225" t="str">
        <f t="shared" ca="1" si="8"/>
        <v>MR</v>
      </c>
      <c r="F23" s="347"/>
      <c r="G23" s="348">
        <f t="shared" ca="1" si="1"/>
        <v>60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338</v>
      </c>
      <c r="AR23" s="207" t="s">
        <v>146</v>
      </c>
      <c r="AS23" s="207">
        <v>18</v>
      </c>
      <c r="AT23" s="207" t="s">
        <v>341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8" x14ac:dyDescent="0.25">
      <c r="A24" s="223" t="s">
        <v>259</v>
      </c>
      <c r="B24" s="224" t="s">
        <v>145</v>
      </c>
      <c r="C24" s="224">
        <v>19</v>
      </c>
      <c r="D24" s="224" t="s">
        <v>388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377</v>
      </c>
      <c r="AR24" s="207" t="s">
        <v>146</v>
      </c>
      <c r="AS24" s="207">
        <v>18</v>
      </c>
      <c r="AT24" s="207" t="s">
        <v>378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362</v>
      </c>
      <c r="B28" s="224" t="s">
        <v>145</v>
      </c>
      <c r="C28" s="224">
        <v>19</v>
      </c>
      <c r="D28" s="224" t="s">
        <v>363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392</v>
      </c>
      <c r="B31" s="224" t="s">
        <v>145</v>
      </c>
      <c r="C31" s="224">
        <v>19</v>
      </c>
      <c r="D31" s="224" t="s">
        <v>393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397</v>
      </c>
      <c r="AR31" s="207" t="s">
        <v>146</v>
      </c>
      <c r="AS31" s="207">
        <v>18</v>
      </c>
      <c r="AT31" s="207" t="s">
        <v>398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8" x14ac:dyDescent="0.2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8"/>
        <v>MR</v>
      </c>
      <c r="F32" s="347"/>
      <c r="G32" s="348">
        <f t="shared" ca="1" si="1"/>
        <v>44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8" x14ac:dyDescent="0.25">
      <c r="A33" s="223" t="s">
        <v>357</v>
      </c>
      <c r="B33" s="224" t="s">
        <v>145</v>
      </c>
      <c r="C33" s="224">
        <v>19</v>
      </c>
      <c r="D33" s="224" t="s">
        <v>358</v>
      </c>
      <c r="E33" s="225" t="str">
        <f t="shared" ca="1" si="8"/>
        <v>MR</v>
      </c>
      <c r="F33" s="347"/>
      <c r="G33" s="348">
        <f t="shared" ca="1" si="1"/>
        <v>45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8"/>
        <v>MR</v>
      </c>
      <c r="F34" s="347"/>
      <c r="G34" s="348">
        <f t="shared" ca="1" si="1"/>
        <v>46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8" x14ac:dyDescent="0.25">
      <c r="A35" s="223" t="s">
        <v>379</v>
      </c>
      <c r="B35" s="224" t="s">
        <v>145</v>
      </c>
      <c r="C35" s="224">
        <v>19</v>
      </c>
      <c r="D35" s="224" t="s">
        <v>385</v>
      </c>
      <c r="E35" s="225" t="str">
        <f t="shared" ca="1" si="8"/>
        <v>R</v>
      </c>
      <c r="F35" s="347"/>
      <c r="G35" s="348">
        <f t="shared" ca="1" si="1"/>
        <v>48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8" x14ac:dyDescent="0.2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50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8" x14ac:dyDescent="0.25">
      <c r="A37" s="223" t="s">
        <v>364</v>
      </c>
      <c r="B37" s="224" t="s">
        <v>145</v>
      </c>
      <c r="C37" s="224">
        <v>19</v>
      </c>
      <c r="D37" s="224" t="s">
        <v>365</v>
      </c>
      <c r="E37" s="225" t="str">
        <f t="shared" ca="1" si="8"/>
        <v>R</v>
      </c>
      <c r="F37" s="347"/>
      <c r="G37" s="348">
        <f t="shared" ca="1" si="1"/>
        <v>52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8" x14ac:dyDescent="0.25">
      <c r="A38" s="223" t="s">
        <v>227</v>
      </c>
      <c r="B38" s="224" t="s">
        <v>146</v>
      </c>
      <c r="C38" s="224">
        <v>18</v>
      </c>
      <c r="D38" s="224" t="s">
        <v>228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8" x14ac:dyDescent="0.2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250</v>
      </c>
      <c r="B40" s="224" t="s">
        <v>146</v>
      </c>
      <c r="C40" s="224">
        <v>18</v>
      </c>
      <c r="D40" s="224" t="s">
        <v>251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392</v>
      </c>
      <c r="AR40" s="207" t="s">
        <v>145</v>
      </c>
      <c r="AS40" s="207">
        <v>19</v>
      </c>
      <c r="AT40" s="207" t="s">
        <v>393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8" x14ac:dyDescent="0.25">
      <c r="A41" s="223" t="s">
        <v>338</v>
      </c>
      <c r="B41" s="224" t="s">
        <v>146</v>
      </c>
      <c r="C41" s="224">
        <v>18</v>
      </c>
      <c r="D41" s="224" t="s">
        <v>341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306</v>
      </c>
      <c r="AR41" s="207" t="s">
        <v>146</v>
      </c>
      <c r="AS41" s="207">
        <v>18</v>
      </c>
      <c r="AT41" s="207" t="s">
        <v>307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377</v>
      </c>
      <c r="B42" s="224" t="s">
        <v>146</v>
      </c>
      <c r="C42" s="224">
        <v>18</v>
      </c>
      <c r="D42" s="224" t="s">
        <v>378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286</v>
      </c>
      <c r="AR42" s="207" t="s">
        <v>144</v>
      </c>
      <c r="AS42" s="207">
        <v>20</v>
      </c>
      <c r="AT42" s="207" t="s">
        <v>287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8" x14ac:dyDescent="0.25">
      <c r="A43" s="223" t="s">
        <v>272</v>
      </c>
      <c r="B43" s="224" t="s">
        <v>146</v>
      </c>
      <c r="C43" s="224">
        <v>18</v>
      </c>
      <c r="D43" s="224" t="s">
        <v>273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308</v>
      </c>
      <c r="AR43" s="207" t="s">
        <v>146</v>
      </c>
      <c r="AS43" s="207">
        <v>18</v>
      </c>
      <c r="AT43" s="207" t="s">
        <v>309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8" x14ac:dyDescent="0.2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290</v>
      </c>
      <c r="AR44" s="207" t="s">
        <v>146</v>
      </c>
      <c r="AS44" s="207">
        <v>18</v>
      </c>
      <c r="AT44" s="207" t="s">
        <v>291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397</v>
      </c>
      <c r="B45" s="224" t="s">
        <v>146</v>
      </c>
      <c r="C45" s="224">
        <v>18</v>
      </c>
      <c r="D45" s="319" t="s">
        <v>239</v>
      </c>
      <c r="E45" s="225" t="str">
        <f t="shared" ca="1" si="8"/>
        <v>R</v>
      </c>
      <c r="F45" s="347"/>
      <c r="G45" s="348">
        <f t="shared" ca="1" si="1"/>
        <v>56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330"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248</v>
      </c>
      <c r="AR45" s="207" t="s">
        <v>144</v>
      </c>
      <c r="AS45" s="207">
        <v>20</v>
      </c>
      <c r="AT45" s="207" t="s">
        <v>249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ht="13.8" x14ac:dyDescent="0.2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28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294</v>
      </c>
      <c r="AR46" s="207" t="s">
        <v>145</v>
      </c>
      <c r="AS46" s="207">
        <v>19</v>
      </c>
      <c r="AT46" s="207" t="s">
        <v>295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310</v>
      </c>
      <c r="AR47" s="207" t="s">
        <v>147</v>
      </c>
      <c r="AS47" s="207">
        <v>17</v>
      </c>
      <c r="AT47" s="207" t="s">
        <v>311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357</v>
      </c>
      <c r="AR48" s="207" t="s">
        <v>145</v>
      </c>
      <c r="AS48" s="207">
        <v>19</v>
      </c>
      <c r="AT48" s="207" t="s">
        <v>358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306</v>
      </c>
      <c r="B49" s="224" t="s">
        <v>146</v>
      </c>
      <c r="C49" s="224">
        <v>18</v>
      </c>
      <c r="D49" s="224" t="s">
        <v>307</v>
      </c>
      <c r="E49" s="225" t="str">
        <f t="shared" ca="1" si="8"/>
        <v>R</v>
      </c>
      <c r="F49" s="347"/>
      <c r="G49" s="348">
        <f t="shared" ca="1" si="1"/>
        <v>39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296</v>
      </c>
      <c r="AR49" s="207" t="s">
        <v>145</v>
      </c>
      <c r="AS49" s="207">
        <v>19</v>
      </c>
      <c r="AT49" s="207" t="s">
        <v>297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8" x14ac:dyDescent="0.25">
      <c r="A50" s="223" t="s">
        <v>308</v>
      </c>
      <c r="B50" s="224" t="s">
        <v>146</v>
      </c>
      <c r="C50" s="224">
        <v>18</v>
      </c>
      <c r="D50" s="224" t="s">
        <v>309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298</v>
      </c>
      <c r="AR50" s="207" t="s">
        <v>144</v>
      </c>
      <c r="AS50" s="207">
        <v>20</v>
      </c>
      <c r="AT50" s="207" t="s">
        <v>299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ht="13.8" x14ac:dyDescent="0.25">
      <c r="A51" s="223" t="s">
        <v>290</v>
      </c>
      <c r="B51" s="224" t="s">
        <v>146</v>
      </c>
      <c r="C51" s="224">
        <v>18</v>
      </c>
      <c r="D51" s="224" t="s">
        <v>291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379</v>
      </c>
      <c r="AR51" s="207" t="s">
        <v>145</v>
      </c>
      <c r="AS51" s="207">
        <v>19</v>
      </c>
      <c r="AT51" s="207" t="s">
        <v>385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8" x14ac:dyDescent="0.25">
      <c r="A52" s="223" t="s">
        <v>399</v>
      </c>
      <c r="B52" s="224" t="s">
        <v>146</v>
      </c>
      <c r="C52" s="224">
        <v>18</v>
      </c>
      <c r="D52" s="224" t="s">
        <v>400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399</v>
      </c>
      <c r="AR52" s="207" t="s">
        <v>146</v>
      </c>
      <c r="AS52" s="207">
        <v>18</v>
      </c>
      <c r="AT52" s="207" t="s">
        <v>400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8" x14ac:dyDescent="0.2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300</v>
      </c>
      <c r="AR53" s="207" t="s">
        <v>145</v>
      </c>
      <c r="AS53" s="207">
        <v>19</v>
      </c>
      <c r="AT53" s="207" t="s">
        <v>386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8" x14ac:dyDescent="0.2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355</v>
      </c>
      <c r="AR54" s="207" t="s">
        <v>144</v>
      </c>
      <c r="AS54" s="207">
        <v>20</v>
      </c>
      <c r="AT54" s="207" t="s">
        <v>356</v>
      </c>
      <c r="AV54" s="168">
        <f t="shared" si="21"/>
        <v>2</v>
      </c>
      <c r="AW54" s="168">
        <f>COUNTIF( AV$7:AV54, AV54 )</f>
        <v>11</v>
      </c>
      <c r="AX54" s="208">
        <f t="shared" si="22"/>
        <v>3.1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8" x14ac:dyDescent="0.2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8"/>
        <v>R</v>
      </c>
      <c r="F55" s="347"/>
      <c r="G55" s="348">
        <f t="shared" ca="1" si="1"/>
        <v>61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364</v>
      </c>
      <c r="AR55" s="207" t="s">
        <v>145</v>
      </c>
      <c r="AS55" s="207">
        <v>19</v>
      </c>
      <c r="AT55" s="207" t="s">
        <v>365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8"/>
        <v>R</v>
      </c>
      <c r="F56" s="347"/>
      <c r="G56" s="348">
        <f t="shared" ca="1" si="1"/>
        <v>59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396</v>
      </c>
      <c r="AR56" s="207" t="s">
        <v>144</v>
      </c>
      <c r="AS56" s="207">
        <v>20</v>
      </c>
      <c r="AT56" s="207" t="s">
        <v>253</v>
      </c>
      <c r="AV56" s="168">
        <f t="shared" si="21"/>
        <v>2</v>
      </c>
      <c r="AW56" s="168">
        <f>COUNTIF( AV$7:AV56, AV56 )</f>
        <v>12</v>
      </c>
      <c r="AX56" s="208">
        <f t="shared" si="22"/>
        <v>3.2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8"/>
        <v>R</v>
      </c>
      <c r="F57" s="347"/>
      <c r="G57" s="348">
        <f t="shared" ca="1" si="1"/>
        <v>57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256</v>
      </c>
      <c r="AR57" s="207" t="s">
        <v>144</v>
      </c>
      <c r="AS57" s="207">
        <v>20</v>
      </c>
      <c r="AT57" s="207" t="s">
        <v>257</v>
      </c>
      <c r="AV57" s="168">
        <f t="shared" si="21"/>
        <v>2</v>
      </c>
      <c r="AW57" s="168">
        <f>COUNTIF( AV$7:AV57, AV57 )</f>
        <v>13</v>
      </c>
      <c r="AX57" s="208">
        <f t="shared" si="22"/>
        <v>3.3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394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D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18.826923076923077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18.807692307692307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-- 2015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Reg_Percent_2013</v>
      </c>
      <c r="G2" s="172" t="s">
        <v>401</v>
      </c>
      <c r="AJ2" s="173" t="str">
        <f>AJ4 &amp; AJ3</f>
        <v>'Credit_2015Q1'!d:d</v>
      </c>
      <c r="AK2" s="173" t="str">
        <f>AK4 &amp; AK3</f>
        <v>'Credit_2015Q1'!b1</v>
      </c>
      <c r="AL2" s="173" t="str">
        <f>AL4 &amp; AL3</f>
        <v>'Credit_2015Q1'!c1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'Credit_2015Q1'!</v>
      </c>
      <c r="AK4" s="169" t="str">
        <f t="shared" ref="AK4:AL4" si="0">$AQ$5</f>
        <v>'Credit_2015Q1'!</v>
      </c>
      <c r="AL4" s="169" t="str">
        <f t="shared" si="0"/>
        <v>'Credit_2015Q1'!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(52)</v>
      </c>
      <c r="M5" s="374"/>
      <c r="N5" s="230"/>
      <c r="O5" s="372" t="str">
        <f ca="1">"Regulated" &amp; CHAR( 10 ) &amp; "(" &amp; O14 &amp; ")"</f>
        <v>Regulated
(37)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402</v>
      </c>
    </row>
    <row r="6" spans="1:61" ht="28.5" customHeight="1" x14ac:dyDescent="0.25">
      <c r="A6" s="219" t="s">
        <v>217</v>
      </c>
      <c r="B6" s="220" t="s">
        <v>61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240</v>
      </c>
      <c r="B7" s="224" t="s">
        <v>171</v>
      </c>
      <c r="C7" s="224">
        <v>21</v>
      </c>
      <c r="D7" s="224" t="s">
        <v>241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12</v>
      </c>
      <c r="AK7" s="169" t="str">
        <f ca="1">IF( ISNA( $AJ7 ), "", OFFSET( INDIRECT( AK$2 ), $AJ7-1, 0 ) )</f>
        <v>A-</v>
      </c>
      <c r="AL7" s="169">
        <f ca="1">IF( ISNA( $AJ7 ), "", OFFSET( INDIRECT( AL$2 ), $AJ7-1, 0 ) )</f>
        <v>20</v>
      </c>
      <c r="AM7" s="169" t="str">
        <f t="shared" ref="AM7:AM67" ca="1" si="4">IF( B7 = AK7, "", "Change" )</f>
        <v>Change</v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8" x14ac:dyDescent="0.25">
      <c r="A8" s="223" t="s">
        <v>298</v>
      </c>
      <c r="B8" s="224" t="s">
        <v>171</v>
      </c>
      <c r="C8" s="224">
        <v>21</v>
      </c>
      <c r="D8" s="224" t="s">
        <v>299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47</v>
      </c>
      <c r="H8" s="349"/>
      <c r="I8" s="233"/>
      <c r="J8" s="213" t="s">
        <v>142</v>
      </c>
      <c r="K8" s="233"/>
      <c r="L8" s="213">
        <f t="shared" ref="L8:L13" si="9">COUNTIF($C$7:$C$67,$X8)</f>
        <v>3</v>
      </c>
      <c r="M8" s="214">
        <f t="shared" ref="M8:M13" si="10">IF( L8 = 0, "", L8/L$14 )</f>
        <v>5.7692307692307696E-2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5.4054054054054057E-2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44</v>
      </c>
      <c r="BF8" s="173" t="str">
        <f t="shared" ca="1" si="7"/>
        <v>Southern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SO</v>
      </c>
    </row>
    <row r="9" spans="1:61" ht="13.8" x14ac:dyDescent="0.25">
      <c r="A9" s="223" t="s">
        <v>224</v>
      </c>
      <c r="B9" s="224" t="s">
        <v>144</v>
      </c>
      <c r="C9" s="224">
        <v>20</v>
      </c>
      <c r="D9" s="224" t="s">
        <v>225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0.23076923076923078</v>
      </c>
      <c r="N9" s="234"/>
      <c r="O9" s="215">
        <f t="shared" ca="1" si="11"/>
        <v>7</v>
      </c>
      <c r="P9" s="216">
        <f t="shared" ca="1" si="12"/>
        <v>0.1891891891891892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254</v>
      </c>
      <c r="B10" s="224" t="s">
        <v>144</v>
      </c>
      <c r="C10" s="224">
        <v>20</v>
      </c>
      <c r="D10" s="224" t="s">
        <v>255</v>
      </c>
      <c r="E10" s="225" t="str">
        <f t="shared" ca="1" si="8"/>
        <v>MR</v>
      </c>
      <c r="F10" s="347"/>
      <c r="G10" s="348">
        <f t="shared" ca="1" si="1"/>
        <v>13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8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232</v>
      </c>
      <c r="B11" s="224" t="s">
        <v>144</v>
      </c>
      <c r="C11" s="224">
        <v>20</v>
      </c>
      <c r="D11" s="224" t="s">
        <v>233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146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11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371</v>
      </c>
      <c r="B12" s="224" t="s">
        <v>144</v>
      </c>
      <c r="C12" s="224">
        <v>20</v>
      </c>
      <c r="D12" s="224" t="s">
        <v>199</v>
      </c>
      <c r="E12" s="225" t="str">
        <f t="shared" ca="1" si="8"/>
        <v>MR</v>
      </c>
      <c r="F12" s="347"/>
      <c r="G12" s="348">
        <f t="shared" ca="1" si="1"/>
        <v>17</v>
      </c>
      <c r="H12" s="349"/>
      <c r="I12" s="234"/>
      <c r="J12" s="215" t="s">
        <v>147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Dominion Resources,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</v>
      </c>
    </row>
    <row r="13" spans="1:61" ht="13.8" x14ac:dyDescent="0.25">
      <c r="A13" s="223" t="s">
        <v>268</v>
      </c>
      <c r="B13" s="224" t="s">
        <v>144</v>
      </c>
      <c r="C13" s="224">
        <v>20</v>
      </c>
      <c r="D13" s="224" t="s">
        <v>269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8"/>
        <v/>
      </c>
      <c r="AJ13" s="169">
        <f t="shared" ca="1" si="19"/>
        <v>26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4"/>
        <v>Change</v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15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18.826923076923077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3</v>
      </c>
      <c r="AW14" s="168">
        <f>COUNTIF( AV$7:AV14, AV14 )</f>
        <v>2</v>
      </c>
      <c r="AX14" s="208">
        <f t="shared" si="22"/>
        <v>3.2</v>
      </c>
      <c r="AY14" s="168">
        <f t="shared" si="23"/>
        <v>4</v>
      </c>
      <c r="AZ14" s="169"/>
      <c r="BA14" s="169"/>
      <c r="BC14" s="168">
        <f t="shared" ca="1" si="24"/>
        <v>8</v>
      </c>
      <c r="BD14" s="209">
        <f t="shared" ca="1" si="6"/>
        <v>29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388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32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18.846153846153847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18.675675675675677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19.46153846153846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145</v>
      </c>
      <c r="AS16" s="207">
        <v>19</v>
      </c>
      <c r="AT16" s="207" t="s">
        <v>262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36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248</v>
      </c>
      <c r="B17" s="224" t="s">
        <v>144</v>
      </c>
      <c r="C17" s="224">
        <v>20</v>
      </c>
      <c r="D17" s="224" t="s">
        <v>249</v>
      </c>
      <c r="E17" s="225" t="str">
        <f t="shared" ca="1" si="8"/>
        <v>MR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>
        <f t="shared" ca="1" si="3"/>
        <v>1</v>
      </c>
      <c r="AH17" s="169" t="str">
        <f t="shared" ca="1" si="18"/>
        <v/>
      </c>
      <c r="AJ17" s="169">
        <f t="shared" ca="1" si="19"/>
        <v>51</v>
      </c>
      <c r="AK17" s="169" t="str">
        <f t="shared" ca="1" si="20"/>
        <v>BBB</v>
      </c>
      <c r="AL17" s="169">
        <f t="shared" ca="1" si="20"/>
        <v>18</v>
      </c>
      <c r="AM17" s="169" t="str">
        <f t="shared" ca="1" si="4"/>
        <v>Change</v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3</v>
      </c>
      <c r="AW17" s="168">
        <f>COUNTIF( AV$7:AV17, AV17 )</f>
        <v>3</v>
      </c>
      <c r="AX17" s="208">
        <f t="shared" si="22"/>
        <v>3.3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6"/>
        <v>39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355</v>
      </c>
      <c r="B18" s="224" t="s">
        <v>144</v>
      </c>
      <c r="C18" s="224">
        <v>20</v>
      </c>
      <c r="D18" s="224" t="s">
        <v>356</v>
      </c>
      <c r="E18" s="225" t="str">
        <f t="shared" ca="1" si="8"/>
        <v>MR</v>
      </c>
      <c r="F18" s="347"/>
      <c r="G18" s="348">
        <f t="shared" ca="1" si="1"/>
        <v>52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371</v>
      </c>
      <c r="AR18" s="207" t="s">
        <v>144</v>
      </c>
      <c r="AS18" s="207">
        <v>20</v>
      </c>
      <c r="AT18" s="207" t="s">
        <v>199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252</v>
      </c>
      <c r="B19" s="224" t="s">
        <v>144</v>
      </c>
      <c r="C19" s="224">
        <v>20</v>
      </c>
      <c r="D19" s="224" t="s">
        <v>253</v>
      </c>
      <c r="E19" s="225" t="str">
        <f t="shared" ca="1" si="8"/>
        <v>R</v>
      </c>
      <c r="F19" s="347"/>
      <c r="G19" s="348">
        <f t="shared" ca="1" si="1"/>
        <v>54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256</v>
      </c>
      <c r="B20" s="224" t="s">
        <v>144</v>
      </c>
      <c r="C20" s="224">
        <v>20</v>
      </c>
      <c r="D20" s="224" t="s">
        <v>257</v>
      </c>
      <c r="E20" s="225" t="str">
        <f t="shared" ca="1" si="8"/>
        <v>R</v>
      </c>
      <c r="F20" s="347"/>
      <c r="G20" s="348">
        <f t="shared" ca="1" si="1"/>
        <v>55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222</v>
      </c>
      <c r="B21" s="224" t="s">
        <v>145</v>
      </c>
      <c r="C21" s="224">
        <v>19</v>
      </c>
      <c r="D21" s="224" t="s">
        <v>223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144</v>
      </c>
      <c r="AS21" s="207">
        <v>20</v>
      </c>
      <c r="AT21" s="207" t="s">
        <v>269</v>
      </c>
      <c r="AV21" s="168">
        <f t="shared" si="21"/>
        <v>3</v>
      </c>
      <c r="AW21" s="168">
        <f>COUNTIF( AV$7:AV21, AV21 )</f>
        <v>5</v>
      </c>
      <c r="AX21" s="208">
        <f t="shared" si="22"/>
        <v>3.5</v>
      </c>
      <c r="AY21" s="168">
        <f t="shared" si="23"/>
        <v>7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230</v>
      </c>
      <c r="B22" s="224" t="s">
        <v>145</v>
      </c>
      <c r="C22" s="224">
        <v>19</v>
      </c>
      <c r="D22" s="224" t="s">
        <v>231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220</v>
      </c>
      <c r="B23" s="224" t="s">
        <v>145</v>
      </c>
      <c r="C23" s="224">
        <v>19</v>
      </c>
      <c r="D23" s="224" t="s">
        <v>221</v>
      </c>
      <c r="E23" s="225" t="str">
        <f t="shared" ca="1" si="8"/>
        <v>MR</v>
      </c>
      <c r="F23" s="347"/>
      <c r="G23" s="348">
        <f t="shared" ca="1" si="1"/>
        <v>61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338</v>
      </c>
      <c r="AR23" s="207" t="s">
        <v>146</v>
      </c>
      <c r="AS23" s="207">
        <v>18</v>
      </c>
      <c r="AT23" s="207" t="s">
        <v>341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8" x14ac:dyDescent="0.25">
      <c r="A24" s="223" t="s">
        <v>259</v>
      </c>
      <c r="B24" s="224" t="s">
        <v>145</v>
      </c>
      <c r="C24" s="224">
        <v>19</v>
      </c>
      <c r="D24" s="224" t="s">
        <v>388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377</v>
      </c>
      <c r="AR24" s="207" t="s">
        <v>146</v>
      </c>
      <c r="AS24" s="207">
        <v>18</v>
      </c>
      <c r="AT24" s="207" t="s">
        <v>378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8" x14ac:dyDescent="0.25">
      <c r="A25" s="223" t="s">
        <v>261</v>
      </c>
      <c r="B25" s="224" t="s">
        <v>145</v>
      </c>
      <c r="C25" s="224">
        <v>19</v>
      </c>
      <c r="D25" s="224" t="s">
        <v>262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266</v>
      </c>
      <c r="B26" s="224" t="s">
        <v>145</v>
      </c>
      <c r="C26" s="224">
        <v>19</v>
      </c>
      <c r="D26" s="224" t="s">
        <v>267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240</v>
      </c>
      <c r="AR26" s="207" t="s">
        <v>171</v>
      </c>
      <c r="AS26" s="207">
        <v>21</v>
      </c>
      <c r="AT26" s="207" t="s">
        <v>241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362</v>
      </c>
      <c r="B28" s="224" t="s">
        <v>145</v>
      </c>
      <c r="C28" s="224">
        <v>19</v>
      </c>
      <c r="D28" s="224" t="s">
        <v>363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>
        <f t="shared" ca="1" si="3"/>
        <v>1</v>
      </c>
      <c r="AH30" s="169" t="str">
        <f t="shared" ca="1" si="18"/>
        <v/>
      </c>
      <c r="AJ30" s="169">
        <f t="shared" ca="1" si="19"/>
        <v>55</v>
      </c>
      <c r="AK30" s="169" t="str">
        <f t="shared" ca="1" si="20"/>
        <v>BBB-</v>
      </c>
      <c r="AL30" s="169">
        <f t="shared" ca="1" si="20"/>
        <v>17</v>
      </c>
      <c r="AM30" s="169" t="str">
        <f t="shared" ca="1" si="4"/>
        <v>Change</v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392</v>
      </c>
      <c r="B31" s="224" t="s">
        <v>145</v>
      </c>
      <c r="C31" s="224">
        <v>19</v>
      </c>
      <c r="D31" s="224" t="s">
        <v>393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397</v>
      </c>
      <c r="AR31" s="207" t="s">
        <v>146</v>
      </c>
      <c r="AS31" s="207">
        <v>18</v>
      </c>
      <c r="AT31" s="207" t="s">
        <v>398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8" x14ac:dyDescent="0.2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8"/>
        <v>MR</v>
      </c>
      <c r="F32" s="347"/>
      <c r="G32" s="348">
        <f t="shared" ca="1" si="1"/>
        <v>44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8" x14ac:dyDescent="0.25">
      <c r="A33" s="223" t="s">
        <v>357</v>
      </c>
      <c r="B33" s="224" t="s">
        <v>145</v>
      </c>
      <c r="C33" s="224">
        <v>19</v>
      </c>
      <c r="D33" s="224" t="s">
        <v>358</v>
      </c>
      <c r="E33" s="225" t="str">
        <f t="shared" ca="1" si="8"/>
        <v>MR</v>
      </c>
      <c r="F33" s="347"/>
      <c r="G33" s="348">
        <f t="shared" ca="1" si="1"/>
        <v>45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8"/>
        <v>MR</v>
      </c>
      <c r="F34" s="347"/>
      <c r="G34" s="348">
        <f t="shared" ca="1" si="1"/>
        <v>46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8" x14ac:dyDescent="0.25">
      <c r="A35" s="223" t="s">
        <v>379</v>
      </c>
      <c r="B35" s="224" t="s">
        <v>145</v>
      </c>
      <c r="C35" s="224">
        <v>19</v>
      </c>
      <c r="D35" s="224" t="s">
        <v>385</v>
      </c>
      <c r="E35" s="225" t="str">
        <f t="shared" ca="1" si="8"/>
        <v>R</v>
      </c>
      <c r="F35" s="347"/>
      <c r="G35" s="348">
        <f t="shared" ca="1" si="1"/>
        <v>48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3</v>
      </c>
      <c r="AW35" s="168">
        <f>COUNTIF( AV$7:AV35, AV35 )</f>
        <v>6</v>
      </c>
      <c r="AX35" s="208">
        <f t="shared" si="22"/>
        <v>3.6</v>
      </c>
      <c r="AY35" s="168">
        <f t="shared" si="23"/>
        <v>8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8" x14ac:dyDescent="0.25">
      <c r="A36" s="223" t="s">
        <v>300</v>
      </c>
      <c r="B36" s="224" t="s">
        <v>145</v>
      </c>
      <c r="C36" s="224">
        <v>19</v>
      </c>
      <c r="D36" s="224" t="s">
        <v>301</v>
      </c>
      <c r="E36" s="225" t="str">
        <f t="shared" ca="1" si="8"/>
        <v>R</v>
      </c>
      <c r="F36" s="347"/>
      <c r="G36" s="348">
        <f t="shared" ca="1" si="1"/>
        <v>50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278</v>
      </c>
      <c r="AR36" s="207" t="s">
        <v>145</v>
      </c>
      <c r="AS36" s="207">
        <v>19</v>
      </c>
      <c r="AT36" s="207" t="s">
        <v>279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8" x14ac:dyDescent="0.25">
      <c r="A37" s="223" t="s">
        <v>364</v>
      </c>
      <c r="B37" s="224" t="s">
        <v>145</v>
      </c>
      <c r="C37" s="224">
        <v>19</v>
      </c>
      <c r="D37" s="224" t="s">
        <v>365</v>
      </c>
      <c r="E37" s="225" t="str">
        <f t="shared" ca="1" si="8"/>
        <v>R</v>
      </c>
      <c r="F37" s="347"/>
      <c r="G37" s="348">
        <f t="shared" ca="1" si="1"/>
        <v>53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302</v>
      </c>
      <c r="AR37" s="207" t="s">
        <v>146</v>
      </c>
      <c r="AS37" s="207">
        <v>18</v>
      </c>
      <c r="AT37" s="207" t="s">
        <v>303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8" x14ac:dyDescent="0.25">
      <c r="A38" s="223" t="s">
        <v>227</v>
      </c>
      <c r="B38" s="224" t="s">
        <v>146</v>
      </c>
      <c r="C38" s="224">
        <v>18</v>
      </c>
      <c r="D38" s="224" t="s">
        <v>228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282</v>
      </c>
      <c r="AR38" s="207" t="s">
        <v>144</v>
      </c>
      <c r="AS38" s="207">
        <v>20</v>
      </c>
      <c r="AT38" s="207" t="s">
        <v>283</v>
      </c>
      <c r="AV38" s="168">
        <f t="shared" si="21"/>
        <v>3</v>
      </c>
      <c r="AW38" s="168">
        <f>COUNTIF( AV$7:AV38, AV38 )</f>
        <v>7</v>
      </c>
      <c r="AX38" s="208">
        <f t="shared" si="22"/>
        <v>3.7</v>
      </c>
      <c r="AY38" s="168">
        <f t="shared" si="23"/>
        <v>9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8" x14ac:dyDescent="0.25">
      <c r="A39" s="223" t="s">
        <v>243</v>
      </c>
      <c r="B39" s="224" t="s">
        <v>146</v>
      </c>
      <c r="C39" s="224">
        <v>18</v>
      </c>
      <c r="D39" s="224" t="s">
        <v>244</v>
      </c>
      <c r="E39" s="225" t="str">
        <f t="shared" ca="1" si="8"/>
        <v>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304</v>
      </c>
      <c r="AR39" s="207" t="s">
        <v>146</v>
      </c>
      <c r="AS39" s="207">
        <v>18</v>
      </c>
      <c r="AT39" s="207" t="s">
        <v>305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250</v>
      </c>
      <c r="B40" s="224" t="s">
        <v>146</v>
      </c>
      <c r="C40" s="224">
        <v>18</v>
      </c>
      <c r="D40" s="224" t="s">
        <v>251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392</v>
      </c>
      <c r="AR40" s="207" t="s">
        <v>145</v>
      </c>
      <c r="AS40" s="207">
        <v>19</v>
      </c>
      <c r="AT40" s="207" t="s">
        <v>393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8" x14ac:dyDescent="0.25">
      <c r="A41" s="223" t="s">
        <v>338</v>
      </c>
      <c r="B41" s="224" t="s">
        <v>146</v>
      </c>
      <c r="C41" s="224">
        <v>18</v>
      </c>
      <c r="D41" s="224" t="s">
        <v>341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306</v>
      </c>
      <c r="AR41" s="207" t="s">
        <v>146</v>
      </c>
      <c r="AS41" s="207">
        <v>18</v>
      </c>
      <c r="AT41" s="207" t="s">
        <v>307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377</v>
      </c>
      <c r="B42" s="224" t="s">
        <v>146</v>
      </c>
      <c r="C42" s="224">
        <v>18</v>
      </c>
      <c r="D42" s="224" t="s">
        <v>378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286</v>
      </c>
      <c r="AR42" s="207" t="s">
        <v>144</v>
      </c>
      <c r="AS42" s="207">
        <v>20</v>
      </c>
      <c r="AT42" s="207" t="s">
        <v>287</v>
      </c>
      <c r="AV42" s="168">
        <f t="shared" si="21"/>
        <v>3</v>
      </c>
      <c r="AW42" s="168">
        <f>COUNTIF( AV$7:AV42, AV42 )</f>
        <v>8</v>
      </c>
      <c r="AX42" s="208">
        <f t="shared" si="22"/>
        <v>3.8</v>
      </c>
      <c r="AY42" s="168">
        <f t="shared" si="23"/>
        <v>10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8" x14ac:dyDescent="0.25">
      <c r="A43" s="223" t="s">
        <v>272</v>
      </c>
      <c r="B43" s="224" t="s">
        <v>146</v>
      </c>
      <c r="C43" s="224">
        <v>18</v>
      </c>
      <c r="D43" s="224" t="s">
        <v>273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308</v>
      </c>
      <c r="AR43" s="207" t="s">
        <v>146</v>
      </c>
      <c r="AS43" s="207">
        <v>18</v>
      </c>
      <c r="AT43" s="207" t="s">
        <v>309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8" x14ac:dyDescent="0.25">
      <c r="A44" s="223" t="s">
        <v>274</v>
      </c>
      <c r="B44" s="224" t="s">
        <v>146</v>
      </c>
      <c r="C44" s="224">
        <v>18</v>
      </c>
      <c r="D44" s="224" t="s">
        <v>275</v>
      </c>
      <c r="E44" s="225" t="str">
        <f t="shared" ca="1" si="8"/>
        <v>MR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290</v>
      </c>
      <c r="AR44" s="207" t="s">
        <v>146</v>
      </c>
      <c r="AS44" s="207">
        <v>18</v>
      </c>
      <c r="AT44" s="207" t="s">
        <v>291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397</v>
      </c>
      <c r="B45" s="224" t="s">
        <v>146</v>
      </c>
      <c r="C45" s="224">
        <v>18</v>
      </c>
      <c r="D45" s="224" t="s">
        <v>398</v>
      </c>
      <c r="E45" s="225" t="str">
        <f t="shared" ca="1" si="8"/>
        <v>R</v>
      </c>
      <c r="F45" s="347"/>
      <c r="G45" s="348">
        <f t="shared" ca="1" si="1"/>
        <v>57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248</v>
      </c>
      <c r="AR45" s="207" t="s">
        <v>144</v>
      </c>
      <c r="AS45" s="207">
        <v>20</v>
      </c>
      <c r="AT45" s="207" t="s">
        <v>249</v>
      </c>
      <c r="AV45" s="168">
        <f t="shared" si="21"/>
        <v>3</v>
      </c>
      <c r="AW45" s="168">
        <f>COUNTIF( AV$7:AV45, AV45 )</f>
        <v>9</v>
      </c>
      <c r="AX45" s="208">
        <f t="shared" si="22"/>
        <v>3.9</v>
      </c>
      <c r="AY45" s="168">
        <f t="shared" si="23"/>
        <v>11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ht="13.8" x14ac:dyDescent="0.25">
      <c r="A46" s="223" t="s">
        <v>288</v>
      </c>
      <c r="B46" s="224" t="s">
        <v>146</v>
      </c>
      <c r="C46" s="224">
        <v>18</v>
      </c>
      <c r="D46" s="224" t="s">
        <v>289</v>
      </c>
      <c r="E46" s="225" t="str">
        <f t="shared" ca="1" si="8"/>
        <v>R</v>
      </c>
      <c r="F46" s="347"/>
      <c r="G46" s="348">
        <f t="shared" ca="1" si="1"/>
        <v>28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294</v>
      </c>
      <c r="AR46" s="207" t="s">
        <v>145</v>
      </c>
      <c r="AS46" s="207">
        <v>19</v>
      </c>
      <c r="AT46" s="207" t="s">
        <v>295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302</v>
      </c>
      <c r="B47" s="224" t="s">
        <v>146</v>
      </c>
      <c r="C47" s="224">
        <v>18</v>
      </c>
      <c r="D47" s="224" t="s">
        <v>303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310</v>
      </c>
      <c r="AR47" s="207" t="s">
        <v>147</v>
      </c>
      <c r="AS47" s="207">
        <v>17</v>
      </c>
      <c r="AT47" s="207" t="s">
        <v>311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304</v>
      </c>
      <c r="B48" s="224" t="s">
        <v>146</v>
      </c>
      <c r="C48" s="224">
        <v>18</v>
      </c>
      <c r="D48" s="224" t="s">
        <v>305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357</v>
      </c>
      <c r="AR48" s="207" t="s">
        <v>145</v>
      </c>
      <c r="AS48" s="207">
        <v>19</v>
      </c>
      <c r="AT48" s="207" t="s">
        <v>358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306</v>
      </c>
      <c r="B49" s="224" t="s">
        <v>146</v>
      </c>
      <c r="C49" s="224">
        <v>18</v>
      </c>
      <c r="D49" s="224" t="s">
        <v>307</v>
      </c>
      <c r="E49" s="225" t="str">
        <f t="shared" ca="1" si="8"/>
        <v>R</v>
      </c>
      <c r="F49" s="347"/>
      <c r="G49" s="348">
        <f t="shared" ca="1" si="1"/>
        <v>39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296</v>
      </c>
      <c r="AR49" s="207" t="s">
        <v>145</v>
      </c>
      <c r="AS49" s="207">
        <v>19</v>
      </c>
      <c r="AT49" s="207" t="s">
        <v>297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8" x14ac:dyDescent="0.25">
      <c r="A50" s="223" t="s">
        <v>308</v>
      </c>
      <c r="B50" s="224" t="s">
        <v>146</v>
      </c>
      <c r="C50" s="224">
        <v>18</v>
      </c>
      <c r="D50" s="224" t="s">
        <v>309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298</v>
      </c>
      <c r="AR50" s="207" t="s">
        <v>171</v>
      </c>
      <c r="AS50" s="207">
        <v>21</v>
      </c>
      <c r="AT50" s="207" t="s">
        <v>299</v>
      </c>
      <c r="AV50" s="168">
        <f t="shared" si="21"/>
        <v>1</v>
      </c>
      <c r="AW50" s="168">
        <f>COUNTIF( AV$7:AV50, AV50 )</f>
        <v>2</v>
      </c>
      <c r="AX50" s="208">
        <f t="shared" si="22"/>
        <v>1.2</v>
      </c>
      <c r="AY50" s="168">
        <f t="shared" si="23"/>
        <v>2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ht="13.8" x14ac:dyDescent="0.25">
      <c r="A51" s="223" t="s">
        <v>290</v>
      </c>
      <c r="B51" s="224" t="s">
        <v>146</v>
      </c>
      <c r="C51" s="224">
        <v>18</v>
      </c>
      <c r="D51" s="224" t="s">
        <v>291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379</v>
      </c>
      <c r="AR51" s="207" t="s">
        <v>145</v>
      </c>
      <c r="AS51" s="207">
        <v>19</v>
      </c>
      <c r="AT51" s="207" t="s">
        <v>385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8" x14ac:dyDescent="0.25">
      <c r="A52" s="223" t="s">
        <v>399</v>
      </c>
      <c r="B52" s="224" t="s">
        <v>146</v>
      </c>
      <c r="C52" s="224">
        <v>18</v>
      </c>
      <c r="D52" s="224" t="s">
        <v>400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399</v>
      </c>
      <c r="AR52" s="207" t="s">
        <v>146</v>
      </c>
      <c r="AS52" s="207">
        <v>18</v>
      </c>
      <c r="AT52" s="207" t="s">
        <v>400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8" x14ac:dyDescent="0.2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300</v>
      </c>
      <c r="AR53" s="207" t="s">
        <v>145</v>
      </c>
      <c r="AS53" s="207">
        <v>19</v>
      </c>
      <c r="AT53" s="207" t="s">
        <v>386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8" x14ac:dyDescent="0.2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355</v>
      </c>
      <c r="AR54" s="207" t="s">
        <v>144</v>
      </c>
      <c r="AS54" s="207">
        <v>20</v>
      </c>
      <c r="AT54" s="207" t="s">
        <v>356</v>
      </c>
      <c r="AV54" s="168">
        <f t="shared" si="21"/>
        <v>3</v>
      </c>
      <c r="AW54" s="168">
        <f>COUNTIF( AV$7:AV54, AV54 )</f>
        <v>10</v>
      </c>
      <c r="AX54" s="208">
        <f t="shared" si="22"/>
        <v>4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8" x14ac:dyDescent="0.2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364</v>
      </c>
      <c r="AR55" s="207" t="s">
        <v>145</v>
      </c>
      <c r="AS55" s="207">
        <v>19</v>
      </c>
      <c r="AT55" s="207" t="s">
        <v>365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252</v>
      </c>
      <c r="AR56" s="207" t="s">
        <v>144</v>
      </c>
      <c r="AS56" s="207">
        <v>20</v>
      </c>
      <c r="AT56" s="207" t="s">
        <v>253</v>
      </c>
      <c r="AV56" s="168">
        <f t="shared" si="21"/>
        <v>3</v>
      </c>
      <c r="AW56" s="168">
        <f>COUNTIF( AV$7:AV56, AV56 )</f>
        <v>11</v>
      </c>
      <c r="AX56" s="208">
        <f t="shared" si="22"/>
        <v>4.0999999999999996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256</v>
      </c>
      <c r="AR57" s="207" t="s">
        <v>144</v>
      </c>
      <c r="AS57" s="207">
        <v>20</v>
      </c>
      <c r="AT57" s="207" t="s">
        <v>257</v>
      </c>
      <c r="AV57" s="168">
        <f t="shared" si="21"/>
        <v>3</v>
      </c>
      <c r="AW57" s="168">
        <f>COUNTIF( AV$7:AV57, AV57 )</f>
        <v>12</v>
      </c>
      <c r="AX57" s="208">
        <f t="shared" si="22"/>
        <v>4.2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394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18.846153846153847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18.826923076923077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-- 2015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Reg_Percent_2013</v>
      </c>
      <c r="G2" s="172" t="s">
        <v>401</v>
      </c>
      <c r="AJ2" s="173" t="str">
        <f>AJ4 &amp; AJ3</f>
        <v>'Credit_2014Q4'!d:d</v>
      </c>
      <c r="AK2" s="173" t="str">
        <f>AK4 &amp; AK3</f>
        <v>'Credit_2014Q4'!b1</v>
      </c>
      <c r="AL2" s="173" t="str">
        <f>AL4 &amp; AL3</f>
        <v>'Credit_2014Q4'!c1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'Credit_2014Q4'!</v>
      </c>
      <c r="AK4" s="169" t="str">
        <f t="shared" ref="AK4:AL4" si="0">$AQ$5</f>
        <v>'Credit_2014Q4'!</v>
      </c>
      <c r="AL4" s="169" t="str">
        <f t="shared" si="0"/>
        <v>'Credit_2014Q4'!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(53)</v>
      </c>
      <c r="M5" s="374"/>
      <c r="N5" s="230"/>
      <c r="O5" s="372" t="str">
        <f ca="1">"Regulated" &amp; CHAR( 10 ) &amp; "(" &amp; O14 &amp; ")"</f>
        <v>Regulated
(38)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403</v>
      </c>
    </row>
    <row r="6" spans="1:61" ht="28.5" customHeight="1" x14ac:dyDescent="0.25">
      <c r="A6" s="219" t="s">
        <v>217</v>
      </c>
      <c r="B6" s="220" t="s">
        <v>60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47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404</v>
      </c>
      <c r="B12" s="224" t="s">
        <v>144</v>
      </c>
      <c r="C12" s="224">
        <v>20</v>
      </c>
      <c r="D12" s="224" t="s">
        <v>241</v>
      </c>
      <c r="E12" s="225" t="str">
        <f t="shared" ca="1" si="8"/>
        <v>R</v>
      </c>
      <c r="F12" s="347"/>
      <c r="G12" s="348">
        <f t="shared" ca="1" si="1"/>
        <v>34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ht="13.8" x14ac:dyDescent="0.25">
      <c r="A13" s="223" t="s">
        <v>405</v>
      </c>
      <c r="B13" s="224" t="s">
        <v>144</v>
      </c>
      <c r="C13" s="224">
        <v>20</v>
      </c>
      <c r="D13" s="224" t="s">
        <v>406</v>
      </c>
      <c r="E13" s="225" t="str">
        <f t="shared" ca="1" si="8"/>
        <v>R</v>
      </c>
      <c r="F13" s="347"/>
      <c r="G13" s="348">
        <f t="shared" ca="1" si="1"/>
        <v>29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388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18.754716981132077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18.657894736842106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19.153846153846153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145</v>
      </c>
      <c r="AS16" s="207">
        <v>19</v>
      </c>
      <c r="AT16" s="207" t="s">
        <v>262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355</v>
      </c>
      <c r="B17" s="224" t="s">
        <v>144</v>
      </c>
      <c r="C17" s="224">
        <v>20</v>
      </c>
      <c r="D17" s="224" t="s">
        <v>356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371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145</v>
      </c>
      <c r="AS21" s="207">
        <v>19</v>
      </c>
      <c r="AT21" s="207" t="s">
        <v>269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220</v>
      </c>
      <c r="B22" s="224" t="s">
        <v>145</v>
      </c>
      <c r="C22" s="224">
        <v>19</v>
      </c>
      <c r="D22" s="224" t="s">
        <v>221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8" x14ac:dyDescent="0.25">
      <c r="A23" s="223" t="s">
        <v>259</v>
      </c>
      <c r="B23" s="224" t="s">
        <v>145</v>
      </c>
      <c r="C23" s="224">
        <v>19</v>
      </c>
      <c r="D23" s="224" t="s">
        <v>388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338</v>
      </c>
      <c r="AR23" s="207" t="s">
        <v>146</v>
      </c>
      <c r="AS23" s="207">
        <v>18</v>
      </c>
      <c r="AT23" s="207" t="s">
        <v>341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8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377</v>
      </c>
      <c r="AR24" s="207" t="s">
        <v>146</v>
      </c>
      <c r="AS24" s="207">
        <v>18</v>
      </c>
      <c r="AT24" s="207" t="s">
        <v>378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8" x14ac:dyDescent="0.2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8"/>
        <v>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ht="13.8" x14ac:dyDescent="0.2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404</v>
      </c>
      <c r="AR26" s="207" t="s">
        <v>144</v>
      </c>
      <c r="AS26" s="207">
        <v>20</v>
      </c>
      <c r="AT26" s="207" t="s">
        <v>241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ht="13.8" x14ac:dyDescent="0.2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362</v>
      </c>
      <c r="B28" s="224" t="s">
        <v>145</v>
      </c>
      <c r="C28" s="224">
        <v>19</v>
      </c>
      <c r="D28" s="224" t="s">
        <v>363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392</v>
      </c>
      <c r="B30" s="224" t="s">
        <v>145</v>
      </c>
      <c r="C30" s="224">
        <v>19</v>
      </c>
      <c r="D30" s="224" t="s">
        <v>393</v>
      </c>
      <c r="E30" s="225" t="str">
        <f t="shared" ca="1" si="8"/>
        <v>R</v>
      </c>
      <c r="F30" s="347"/>
      <c r="G30" s="348">
        <f t="shared" ca="1" si="1"/>
        <v>38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ht="13.8" x14ac:dyDescent="0.25">
      <c r="A31" s="223" t="s">
        <v>294</v>
      </c>
      <c r="B31" s="224" t="s">
        <v>145</v>
      </c>
      <c r="C31" s="224">
        <v>19</v>
      </c>
      <c r="D31" s="224" t="s">
        <v>295</v>
      </c>
      <c r="E31" s="225" t="str">
        <f t="shared" ca="1" si="8"/>
        <v>MR</v>
      </c>
      <c r="F31" s="347"/>
      <c r="G31" s="348">
        <f t="shared" ca="1" si="1"/>
        <v>44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397</v>
      </c>
      <c r="AR31" s="207" t="s">
        <v>146</v>
      </c>
      <c r="AS31" s="207">
        <v>18</v>
      </c>
      <c r="AT31" s="207" t="s">
        <v>398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ht="13.8" x14ac:dyDescent="0.25">
      <c r="A32" s="223" t="s">
        <v>357</v>
      </c>
      <c r="B32" s="224" t="s">
        <v>145</v>
      </c>
      <c r="C32" s="224">
        <v>19</v>
      </c>
      <c r="D32" s="224" t="s">
        <v>358</v>
      </c>
      <c r="E32" s="225" t="str">
        <f t="shared" ca="1" si="8"/>
        <v>MR</v>
      </c>
      <c r="F32" s="347"/>
      <c r="G32" s="348">
        <f t="shared" ca="1" si="1"/>
        <v>45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ht="13.8" x14ac:dyDescent="0.2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8"/>
        <v>MR</v>
      </c>
      <c r="F33" s="347"/>
      <c r="G33" s="348">
        <f t="shared" ca="1" si="1"/>
        <v>46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405</v>
      </c>
      <c r="AR33" s="207" t="s">
        <v>144</v>
      </c>
      <c r="AS33" s="207">
        <v>20</v>
      </c>
      <c r="AT33" s="207" t="s">
        <v>406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ht="13.8" x14ac:dyDescent="0.25">
      <c r="A34" s="223" t="s">
        <v>379</v>
      </c>
      <c r="B34" s="224" t="s">
        <v>145</v>
      </c>
      <c r="C34" s="224">
        <v>19</v>
      </c>
      <c r="D34" s="224" t="s">
        <v>385</v>
      </c>
      <c r="E34" s="225" t="str">
        <f t="shared" ca="1" si="8"/>
        <v>R</v>
      </c>
      <c r="F34" s="347"/>
      <c r="G34" s="348">
        <f t="shared" ca="1" si="1"/>
        <v>48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292</v>
      </c>
      <c r="AR34" s="207" t="s">
        <v>178</v>
      </c>
      <c r="AS34" s="207">
        <v>16</v>
      </c>
      <c r="AT34" s="207" t="s">
        <v>293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8"/>
        <v>R</v>
      </c>
      <c r="F35" s="347"/>
      <c r="G35" s="348">
        <f t="shared" ca="1" si="1"/>
        <v>50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276</v>
      </c>
      <c r="AR35" s="207" t="s">
        <v>145</v>
      </c>
      <c r="AS35" s="207">
        <v>19</v>
      </c>
      <c r="AT35" s="207" t="s">
        <v>277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*UTL</v>
      </c>
    </row>
    <row r="36" spans="1:61" ht="13.8" x14ac:dyDescent="0.25">
      <c r="A36" s="223" t="s">
        <v>364</v>
      </c>
      <c r="B36" s="224" t="s">
        <v>145</v>
      </c>
      <c r="C36" s="224">
        <v>19</v>
      </c>
      <c r="D36" s="224" t="s">
        <v>365</v>
      </c>
      <c r="E36" s="225" t="str">
        <f t="shared" ca="1" si="8"/>
        <v>R</v>
      </c>
      <c r="F36" s="347"/>
      <c r="G36" s="348">
        <f t="shared" ca="1" si="1"/>
        <v>53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ht="13.8" x14ac:dyDescent="0.25">
      <c r="A37" s="223" t="s">
        <v>227</v>
      </c>
      <c r="B37" s="224" t="s">
        <v>146</v>
      </c>
      <c r="C37" s="224">
        <v>18</v>
      </c>
      <c r="D37" s="224" t="s">
        <v>228</v>
      </c>
      <c r="E37" s="225" t="str">
        <f t="shared" ca="1" si="8"/>
        <v>R</v>
      </c>
      <c r="F37" s="347"/>
      <c r="G37" s="348">
        <f t="shared" ca="1" si="1"/>
        <v>10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ht="13.8" x14ac:dyDescent="0.2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302</v>
      </c>
      <c r="AR38" s="207" t="s">
        <v>146</v>
      </c>
      <c r="AS38" s="207">
        <v>18</v>
      </c>
      <c r="AT38" s="207" t="s">
        <v>303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250</v>
      </c>
      <c r="B39" s="224" t="s">
        <v>146</v>
      </c>
      <c r="C39" s="224">
        <v>18</v>
      </c>
      <c r="D39" s="224" t="s">
        <v>251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282</v>
      </c>
      <c r="AR39" s="207" t="s">
        <v>144</v>
      </c>
      <c r="AS39" s="207">
        <v>20</v>
      </c>
      <c r="AT39" s="207" t="s">
        <v>283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ht="13.8" x14ac:dyDescent="0.25">
      <c r="A40" s="223" t="s">
        <v>338</v>
      </c>
      <c r="B40" s="224" t="s">
        <v>146</v>
      </c>
      <c r="C40" s="224">
        <v>18</v>
      </c>
      <c r="D40" s="224" t="s">
        <v>341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304</v>
      </c>
      <c r="AR40" s="207" t="s">
        <v>146</v>
      </c>
      <c r="AS40" s="207">
        <v>18</v>
      </c>
      <c r="AT40" s="207" t="s">
        <v>305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377</v>
      </c>
      <c r="B41" s="224" t="s">
        <v>146</v>
      </c>
      <c r="C41" s="224">
        <v>18</v>
      </c>
      <c r="D41" s="224" t="s">
        <v>378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392</v>
      </c>
      <c r="AR41" s="207" t="s">
        <v>145</v>
      </c>
      <c r="AS41" s="207">
        <v>19</v>
      </c>
      <c r="AT41" s="207" t="s">
        <v>393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ht="13.8" x14ac:dyDescent="0.25">
      <c r="A42" s="223" t="s">
        <v>272</v>
      </c>
      <c r="B42" s="224" t="s">
        <v>146</v>
      </c>
      <c r="C42" s="224">
        <v>18</v>
      </c>
      <c r="D42" s="224" t="s">
        <v>273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306</v>
      </c>
      <c r="AR42" s="207" t="s">
        <v>146</v>
      </c>
      <c r="AS42" s="207">
        <v>18</v>
      </c>
      <c r="AT42" s="207" t="s">
        <v>307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ht="13.8" x14ac:dyDescent="0.25">
      <c r="A43" s="223" t="s">
        <v>274</v>
      </c>
      <c r="B43" s="224" t="s">
        <v>146</v>
      </c>
      <c r="C43" s="224">
        <v>18</v>
      </c>
      <c r="D43" s="224" t="s">
        <v>275</v>
      </c>
      <c r="E43" s="225" t="str">
        <f t="shared" ca="1" si="8"/>
        <v>MR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286</v>
      </c>
      <c r="AR43" s="207" t="s">
        <v>144</v>
      </c>
      <c r="AS43" s="207">
        <v>20</v>
      </c>
      <c r="AT43" s="207" t="s">
        <v>287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8" x14ac:dyDescent="0.25">
      <c r="A44" s="223" t="s">
        <v>397</v>
      </c>
      <c r="B44" s="224" t="s">
        <v>146</v>
      </c>
      <c r="C44" s="224">
        <v>18</v>
      </c>
      <c r="D44" s="224" t="s">
        <v>398</v>
      </c>
      <c r="E44" s="225" t="str">
        <f t="shared" ca="1" si="8"/>
        <v>R</v>
      </c>
      <c r="F44" s="347"/>
      <c r="G44" s="348">
        <f t="shared" ca="1" si="1"/>
        <v>57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308</v>
      </c>
      <c r="AR44" s="207" t="s">
        <v>146</v>
      </c>
      <c r="AS44" s="207">
        <v>18</v>
      </c>
      <c r="AT44" s="207" t="s">
        <v>309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ht="13.8" x14ac:dyDescent="0.2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290</v>
      </c>
      <c r="AR45" s="207" t="s">
        <v>146</v>
      </c>
      <c r="AS45" s="207">
        <v>18</v>
      </c>
      <c r="AT45" s="207" t="s">
        <v>291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248</v>
      </c>
      <c r="AR46" s="207" t="s">
        <v>146</v>
      </c>
      <c r="AS46" s="207">
        <v>18</v>
      </c>
      <c r="AT46" s="207" t="s">
        <v>249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294</v>
      </c>
      <c r="AR47" s="207" t="s">
        <v>145</v>
      </c>
      <c r="AS47" s="207">
        <v>19</v>
      </c>
      <c r="AT47" s="207" t="s">
        <v>295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306</v>
      </c>
      <c r="B48" s="224" t="s">
        <v>146</v>
      </c>
      <c r="C48" s="224">
        <v>18</v>
      </c>
      <c r="D48" s="224" t="s">
        <v>307</v>
      </c>
      <c r="E48" s="225" t="str">
        <f t="shared" ca="1" si="8"/>
        <v>R</v>
      </c>
      <c r="F48" s="347"/>
      <c r="G48" s="348">
        <f t="shared" ca="1" si="1"/>
        <v>39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310</v>
      </c>
      <c r="AR48" s="207" t="s">
        <v>147</v>
      </c>
      <c r="AS48" s="207">
        <v>17</v>
      </c>
      <c r="AT48" s="207" t="s">
        <v>311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8" x14ac:dyDescent="0.25">
      <c r="A49" s="223" t="s">
        <v>308</v>
      </c>
      <c r="B49" s="224" t="s">
        <v>146</v>
      </c>
      <c r="C49" s="224">
        <v>18</v>
      </c>
      <c r="D49" s="224" t="s">
        <v>309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357</v>
      </c>
      <c r="AR49" s="207" t="s">
        <v>145</v>
      </c>
      <c r="AS49" s="207">
        <v>19</v>
      </c>
      <c r="AT49" s="207" t="s">
        <v>358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ht="13.8" x14ac:dyDescent="0.25">
      <c r="A50" s="223" t="s">
        <v>290</v>
      </c>
      <c r="B50" s="224" t="s">
        <v>146</v>
      </c>
      <c r="C50" s="224">
        <v>18</v>
      </c>
      <c r="D50" s="224" t="s">
        <v>291</v>
      </c>
      <c r="E50" s="225" t="str">
        <f t="shared" ca="1" si="8"/>
        <v>R</v>
      </c>
      <c r="F50" s="347"/>
      <c r="G50" s="348">
        <f t="shared" ca="1" si="1"/>
        <v>42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296</v>
      </c>
      <c r="AR50" s="207" t="s">
        <v>145</v>
      </c>
      <c r="AS50" s="207">
        <v>19</v>
      </c>
      <c r="AT50" s="207" t="s">
        <v>297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8" x14ac:dyDescent="0.25">
      <c r="A51" s="223" t="s">
        <v>248</v>
      </c>
      <c r="B51" s="224" t="s">
        <v>146</v>
      </c>
      <c r="C51" s="224">
        <v>18</v>
      </c>
      <c r="D51" s="224" t="s">
        <v>249</v>
      </c>
      <c r="E51" s="225" t="str">
        <f t="shared" ca="1" si="8"/>
        <v>MR</v>
      </c>
      <c r="F51" s="347"/>
      <c r="G51" s="348">
        <f t="shared" ca="1" si="1"/>
        <v>43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298</v>
      </c>
      <c r="AR51" s="207" t="s">
        <v>171</v>
      </c>
      <c r="AS51" s="207">
        <v>21</v>
      </c>
      <c r="AT51" s="207" t="s">
        <v>299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ht="13.8" x14ac:dyDescent="0.25">
      <c r="A52" s="223" t="s">
        <v>399</v>
      </c>
      <c r="B52" s="224" t="s">
        <v>146</v>
      </c>
      <c r="C52" s="224">
        <v>18</v>
      </c>
      <c r="D52" s="224" t="s">
        <v>400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379</v>
      </c>
      <c r="AR52" s="207" t="s">
        <v>145</v>
      </c>
      <c r="AS52" s="207">
        <v>19</v>
      </c>
      <c r="AT52" s="207" t="s">
        <v>385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8" x14ac:dyDescent="0.2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399</v>
      </c>
      <c r="AR53" s="207" t="s">
        <v>146</v>
      </c>
      <c r="AS53" s="207">
        <v>18</v>
      </c>
      <c r="AT53" s="207" t="s">
        <v>400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8" x14ac:dyDescent="0.2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300</v>
      </c>
      <c r="AR54" s="207" t="s">
        <v>145</v>
      </c>
      <c r="AS54" s="207">
        <v>19</v>
      </c>
      <c r="AT54" s="207" t="s">
        <v>386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8" x14ac:dyDescent="0.2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8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355</v>
      </c>
      <c r="AR55" s="207" t="s">
        <v>144</v>
      </c>
      <c r="AS55" s="207">
        <v>20</v>
      </c>
      <c r="AT55" s="207" t="s">
        <v>356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ht="13.8" x14ac:dyDescent="0.25">
      <c r="A56" s="223" t="s">
        <v>310</v>
      </c>
      <c r="B56" s="224" t="s">
        <v>147</v>
      </c>
      <c r="C56" s="224">
        <v>17</v>
      </c>
      <c r="D56" s="224" t="s">
        <v>311</v>
      </c>
      <c r="E56" s="225" t="str">
        <f t="shared" ca="1" si="8"/>
        <v>R</v>
      </c>
      <c r="F56" s="347"/>
      <c r="G56" s="348">
        <f t="shared" ca="1" si="1"/>
        <v>62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364</v>
      </c>
      <c r="AR56" s="207" t="s">
        <v>145</v>
      </c>
      <c r="AS56" s="207">
        <v>19</v>
      </c>
      <c r="AT56" s="207" t="s">
        <v>365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ht="13.8" x14ac:dyDescent="0.25">
      <c r="A57" s="223" t="s">
        <v>292</v>
      </c>
      <c r="B57" s="224" t="s">
        <v>178</v>
      </c>
      <c r="C57" s="224">
        <v>16</v>
      </c>
      <c r="D57" s="224" t="s">
        <v>293</v>
      </c>
      <c r="E57" s="225" t="str">
        <f t="shared" ca="1" si="8"/>
        <v>R</v>
      </c>
      <c r="F57" s="347"/>
      <c r="G57" s="348">
        <f t="shared" ca="1" si="1"/>
        <v>60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252</v>
      </c>
      <c r="AR57" s="207" t="s">
        <v>144</v>
      </c>
      <c r="AS57" s="207">
        <v>20</v>
      </c>
      <c r="AT57" s="207" t="s">
        <v>253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ht="13.8" x14ac:dyDescent="0.2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8"/>
        <v>R</v>
      </c>
      <c r="F58" s="347"/>
      <c r="G58" s="348">
        <f t="shared" ca="1" si="1"/>
        <v>58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256</v>
      </c>
      <c r="AR58" s="207" t="s">
        <v>144</v>
      </c>
      <c r="AS58" s="207">
        <v>20</v>
      </c>
      <c r="AT58" s="207" t="s">
        <v>257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394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18.735849056603772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-- 2014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Reg_Percent_2013</v>
      </c>
      <c r="G2" s="172" t="s">
        <v>401</v>
      </c>
      <c r="AJ2" s="173" t="str">
        <f>AJ4 &amp; AJ3</f>
        <v>'Credit_2014Q3'!d:d</v>
      </c>
      <c r="AK2" s="173" t="str">
        <f>AK4 &amp; AK3</f>
        <v>'Credit_2014Q3'!b1</v>
      </c>
      <c r="AL2" s="173" t="str">
        <f>AL4 &amp; AL3</f>
        <v>'Credit_2014Q3'!c1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'Credit_2014Q3'!</v>
      </c>
      <c r="AK4" s="169" t="str">
        <f t="shared" ref="AK4:AL4" si="0">$AQ$5</f>
        <v>'Credit_2014Q3'!</v>
      </c>
      <c r="AL4" s="169" t="str">
        <f t="shared" si="0"/>
        <v>'Credit_2014Q3'!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(53)</v>
      </c>
      <c r="M5" s="374"/>
      <c r="N5" s="230"/>
      <c r="O5" s="372" t="str">
        <f ca="1">"Regulated" &amp; CHAR( 10 ) &amp; "(" &amp; O14 &amp; ")"</f>
        <v>Regulated
(38)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407</v>
      </c>
    </row>
    <row r="6" spans="1:61" ht="28.5" customHeight="1" x14ac:dyDescent="0.25">
      <c r="A6" s="219" t="s">
        <v>217</v>
      </c>
      <c r="B6" s="220" t="s">
        <v>59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47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404</v>
      </c>
      <c r="B12" s="224" t="s">
        <v>144</v>
      </c>
      <c r="C12" s="224">
        <v>20</v>
      </c>
      <c r="D12" s="224" t="s">
        <v>241</v>
      </c>
      <c r="E12" s="225" t="str">
        <f t="shared" ca="1" si="8"/>
        <v>R</v>
      </c>
      <c r="F12" s="347"/>
      <c r="G12" s="348">
        <f t="shared" ca="1" si="1"/>
        <v>34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ht="13.8" x14ac:dyDescent="0.25">
      <c r="A13" s="223" t="s">
        <v>405</v>
      </c>
      <c r="B13" s="224" t="s">
        <v>144</v>
      </c>
      <c r="C13" s="224">
        <v>20</v>
      </c>
      <c r="D13" s="224" t="s">
        <v>406</v>
      </c>
      <c r="E13" s="225" t="str">
        <f t="shared" ca="1" si="8"/>
        <v>R</v>
      </c>
      <c r="F13" s="347"/>
      <c r="G13" s="348">
        <f t="shared" ca="1" si="1"/>
        <v>29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149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388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18.754716981132077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18.657894736842106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19.153846153846153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145</v>
      </c>
      <c r="AS16" s="207">
        <v>19</v>
      </c>
      <c r="AT16" s="207" t="s">
        <v>262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355</v>
      </c>
      <c r="B17" s="224" t="s">
        <v>144</v>
      </c>
      <c r="C17" s="224">
        <v>20</v>
      </c>
      <c r="D17" s="224" t="s">
        <v>356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371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145</v>
      </c>
      <c r="AS21" s="207">
        <v>19</v>
      </c>
      <c r="AT21" s="207" t="s">
        <v>269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220</v>
      </c>
      <c r="B22" s="224" t="s">
        <v>145</v>
      </c>
      <c r="C22" s="224">
        <v>19</v>
      </c>
      <c r="D22" s="224" t="s">
        <v>221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8" x14ac:dyDescent="0.25">
      <c r="A23" s="223" t="s">
        <v>259</v>
      </c>
      <c r="B23" s="224" t="s">
        <v>145</v>
      </c>
      <c r="C23" s="224">
        <v>19</v>
      </c>
      <c r="D23" s="224" t="s">
        <v>388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338</v>
      </c>
      <c r="AR23" s="207" t="s">
        <v>146</v>
      </c>
      <c r="AS23" s="207">
        <v>18</v>
      </c>
      <c r="AT23" s="207" t="s">
        <v>341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261</v>
      </c>
      <c r="B24" s="224" t="s">
        <v>145</v>
      </c>
      <c r="C24" s="224">
        <v>19</v>
      </c>
      <c r="D24" s="224" t="s">
        <v>262</v>
      </c>
      <c r="E24" s="225" t="str">
        <f t="shared" ca="1" si="8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>
        <f t="shared" ca="1" si="3"/>
        <v>1</v>
      </c>
      <c r="AH24" s="169" t="str">
        <f t="shared" ca="1" si="18"/>
        <v/>
      </c>
      <c r="AJ24" s="169">
        <f t="shared" ca="1" si="19"/>
        <v>38</v>
      </c>
      <c r="AK24" s="169" t="str">
        <f t="shared" ca="1" si="20"/>
        <v>BBB</v>
      </c>
      <c r="AL24" s="169">
        <f t="shared" ca="1" si="20"/>
        <v>18</v>
      </c>
      <c r="AM24" s="169" t="str">
        <f t="shared" ca="1" si="4"/>
        <v>Change</v>
      </c>
      <c r="AQ24" s="207" t="s">
        <v>377</v>
      </c>
      <c r="AR24" s="207" t="s">
        <v>146</v>
      </c>
      <c r="AS24" s="207">
        <v>18</v>
      </c>
      <c r="AT24" s="207" t="s">
        <v>378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8" x14ac:dyDescent="0.2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8"/>
        <v>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ht="13.8" x14ac:dyDescent="0.2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404</v>
      </c>
      <c r="AR26" s="207" t="s">
        <v>144</v>
      </c>
      <c r="AS26" s="207">
        <v>20</v>
      </c>
      <c r="AT26" s="207" t="s">
        <v>241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ht="13.8" x14ac:dyDescent="0.25">
      <c r="A27" s="223" t="s">
        <v>270</v>
      </c>
      <c r="B27" s="224" t="s">
        <v>145</v>
      </c>
      <c r="C27" s="224">
        <v>19</v>
      </c>
      <c r="D27" s="224" t="s">
        <v>271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274</v>
      </c>
      <c r="AR27" s="207" t="s">
        <v>146</v>
      </c>
      <c r="AS27" s="207">
        <v>18</v>
      </c>
      <c r="AT27" s="207" t="s">
        <v>275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362</v>
      </c>
      <c r="B28" s="224" t="s">
        <v>145</v>
      </c>
      <c r="C28" s="224">
        <v>19</v>
      </c>
      <c r="D28" s="224" t="s">
        <v>363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362</v>
      </c>
      <c r="AR29" s="207" t="s">
        <v>145</v>
      </c>
      <c r="AS29" s="207">
        <v>19</v>
      </c>
      <c r="AT29" s="207" t="s">
        <v>363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392</v>
      </c>
      <c r="B30" s="224" t="s">
        <v>145</v>
      </c>
      <c r="C30" s="224">
        <v>19</v>
      </c>
      <c r="D30" s="224" t="s">
        <v>393</v>
      </c>
      <c r="E30" s="225" t="str">
        <f t="shared" ca="1" si="8"/>
        <v>R</v>
      </c>
      <c r="F30" s="347"/>
      <c r="G30" s="348">
        <f t="shared" ca="1" si="1"/>
        <v>38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284</v>
      </c>
      <c r="AR30" s="207" t="s">
        <v>147</v>
      </c>
      <c r="AS30" s="207">
        <v>17</v>
      </c>
      <c r="AT30" s="207" t="s">
        <v>285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ht="13.8" x14ac:dyDescent="0.25">
      <c r="A31" s="223" t="s">
        <v>294</v>
      </c>
      <c r="B31" s="224" t="s">
        <v>145</v>
      </c>
      <c r="C31" s="224">
        <v>19</v>
      </c>
      <c r="D31" s="224" t="s">
        <v>295</v>
      </c>
      <c r="E31" s="225" t="str">
        <f t="shared" ca="1" si="8"/>
        <v>MR</v>
      </c>
      <c r="F31" s="347"/>
      <c r="G31" s="348">
        <f t="shared" ca="1" si="1"/>
        <v>44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397</v>
      </c>
      <c r="AR31" s="207" t="s">
        <v>146</v>
      </c>
      <c r="AS31" s="207">
        <v>18</v>
      </c>
      <c r="AT31" s="207" t="s">
        <v>398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ht="13.8" x14ac:dyDescent="0.25">
      <c r="A32" s="223" t="s">
        <v>357</v>
      </c>
      <c r="B32" s="224" t="s">
        <v>145</v>
      </c>
      <c r="C32" s="224">
        <v>19</v>
      </c>
      <c r="D32" s="224" t="s">
        <v>358</v>
      </c>
      <c r="E32" s="225" t="str">
        <f t="shared" ca="1" si="8"/>
        <v>MR</v>
      </c>
      <c r="F32" s="347"/>
      <c r="G32" s="348">
        <f t="shared" ca="1" si="1"/>
        <v>45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288</v>
      </c>
      <c r="AR32" s="207" t="s">
        <v>146</v>
      </c>
      <c r="AS32" s="207">
        <v>18</v>
      </c>
      <c r="AT32" s="207" t="s">
        <v>289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ht="13.8" x14ac:dyDescent="0.2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8"/>
        <v>MR</v>
      </c>
      <c r="F33" s="347"/>
      <c r="G33" s="348">
        <f t="shared" ca="1" si="1"/>
        <v>46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405</v>
      </c>
      <c r="AR33" s="207" t="s">
        <v>144</v>
      </c>
      <c r="AS33" s="207">
        <v>20</v>
      </c>
      <c r="AT33" s="207" t="s">
        <v>406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ht="13.8" x14ac:dyDescent="0.25">
      <c r="A34" s="223" t="s">
        <v>379</v>
      </c>
      <c r="B34" s="224" t="s">
        <v>145</v>
      </c>
      <c r="C34" s="224">
        <v>19</v>
      </c>
      <c r="D34" s="224" t="s">
        <v>385</v>
      </c>
      <c r="E34" s="225" t="str">
        <f t="shared" ca="1" si="8"/>
        <v>R</v>
      </c>
      <c r="F34" s="347"/>
      <c r="G34" s="348">
        <f t="shared" ca="1" si="1"/>
        <v>48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292</v>
      </c>
      <c r="AR34" s="207" t="s">
        <v>178</v>
      </c>
      <c r="AS34" s="207">
        <v>16</v>
      </c>
      <c r="AT34" s="207" t="s">
        <v>293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8"/>
        <v>R</v>
      </c>
      <c r="F35" s="347"/>
      <c r="G35" s="348">
        <f t="shared" ca="1" si="1"/>
        <v>50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>
        <f t="shared" ca="1" si="18"/>
        <v>1</v>
      </c>
      <c r="AJ35" s="169" t="e">
        <f t="shared" ca="1" si="19"/>
        <v>#N/A</v>
      </c>
      <c r="AK35" s="169" t="str">
        <f t="shared" ca="1" si="20"/>
        <v/>
      </c>
      <c r="AL35" s="169" t="str">
        <f t="shared" ca="1" si="20"/>
        <v/>
      </c>
      <c r="AM35" s="169" t="str">
        <f t="shared" ca="1" si="4"/>
        <v>Change</v>
      </c>
      <c r="AQ35" s="207" t="s">
        <v>276</v>
      </c>
      <c r="AR35" s="207" t="s">
        <v>145</v>
      </c>
      <c r="AS35" s="207">
        <v>19</v>
      </c>
      <c r="AT35" s="207" t="s">
        <v>277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UTL</v>
      </c>
    </row>
    <row r="36" spans="1:61" ht="13.8" x14ac:dyDescent="0.25">
      <c r="A36" s="223" t="s">
        <v>364</v>
      </c>
      <c r="B36" s="224" t="s">
        <v>145</v>
      </c>
      <c r="C36" s="224">
        <v>19</v>
      </c>
      <c r="D36" s="224" t="s">
        <v>365</v>
      </c>
      <c r="E36" s="225" t="str">
        <f t="shared" ca="1" si="8"/>
        <v>R</v>
      </c>
      <c r="F36" s="347"/>
      <c r="G36" s="348">
        <f t="shared" ca="1" si="1"/>
        <v>53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ht="13.8" x14ac:dyDescent="0.25">
      <c r="A37" s="223" t="s">
        <v>227</v>
      </c>
      <c r="B37" s="224" t="s">
        <v>146</v>
      </c>
      <c r="C37" s="224">
        <v>18</v>
      </c>
      <c r="D37" s="224" t="s">
        <v>228</v>
      </c>
      <c r="E37" s="225" t="str">
        <f t="shared" ca="1" si="8"/>
        <v>R</v>
      </c>
      <c r="F37" s="347"/>
      <c r="G37" s="348">
        <f t="shared" ca="1" si="1"/>
        <v>10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ht="13.8" x14ac:dyDescent="0.25">
      <c r="A38" s="223" t="s">
        <v>243</v>
      </c>
      <c r="B38" s="224" t="s">
        <v>146</v>
      </c>
      <c r="C38" s="224">
        <v>18</v>
      </c>
      <c r="D38" s="224" t="s">
        <v>244</v>
      </c>
      <c r="E38" s="225" t="str">
        <f t="shared" ca="1" si="8"/>
        <v>R</v>
      </c>
      <c r="F38" s="347"/>
      <c r="G38" s="348">
        <f t="shared" ca="1" si="1"/>
        <v>11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302</v>
      </c>
      <c r="AR38" s="207" t="s">
        <v>146</v>
      </c>
      <c r="AS38" s="207">
        <v>18</v>
      </c>
      <c r="AT38" s="207" t="s">
        <v>303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250</v>
      </c>
      <c r="B39" s="224" t="s">
        <v>146</v>
      </c>
      <c r="C39" s="224">
        <v>18</v>
      </c>
      <c r="D39" s="224" t="s">
        <v>251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282</v>
      </c>
      <c r="AR39" s="207" t="s">
        <v>144</v>
      </c>
      <c r="AS39" s="207">
        <v>20</v>
      </c>
      <c r="AT39" s="207" t="s">
        <v>283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ht="13.8" x14ac:dyDescent="0.25">
      <c r="A40" s="223" t="s">
        <v>338</v>
      </c>
      <c r="B40" s="224" t="s">
        <v>146</v>
      </c>
      <c r="C40" s="224">
        <v>18</v>
      </c>
      <c r="D40" s="224" t="s">
        <v>341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304</v>
      </c>
      <c r="AR40" s="207" t="s">
        <v>146</v>
      </c>
      <c r="AS40" s="207">
        <v>18</v>
      </c>
      <c r="AT40" s="207" t="s">
        <v>305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377</v>
      </c>
      <c r="B41" s="224" t="s">
        <v>146</v>
      </c>
      <c r="C41" s="224">
        <v>18</v>
      </c>
      <c r="D41" s="224" t="s">
        <v>378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392</v>
      </c>
      <c r="AR41" s="207" t="s">
        <v>145</v>
      </c>
      <c r="AS41" s="207">
        <v>19</v>
      </c>
      <c r="AT41" s="207" t="s">
        <v>393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ht="13.8" x14ac:dyDescent="0.25">
      <c r="A42" s="223" t="s">
        <v>272</v>
      </c>
      <c r="B42" s="224" t="s">
        <v>146</v>
      </c>
      <c r="C42" s="224">
        <v>18</v>
      </c>
      <c r="D42" s="224" t="s">
        <v>273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306</v>
      </c>
      <c r="AR42" s="207" t="s">
        <v>146</v>
      </c>
      <c r="AS42" s="207">
        <v>18</v>
      </c>
      <c r="AT42" s="207" t="s">
        <v>307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ht="13.8" x14ac:dyDescent="0.25">
      <c r="A43" s="223" t="s">
        <v>274</v>
      </c>
      <c r="B43" s="224" t="s">
        <v>146</v>
      </c>
      <c r="C43" s="224">
        <v>18</v>
      </c>
      <c r="D43" s="224" t="s">
        <v>275</v>
      </c>
      <c r="E43" s="225" t="str">
        <f t="shared" ca="1" si="8"/>
        <v>MR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286</v>
      </c>
      <c r="AR43" s="207" t="s">
        <v>144</v>
      </c>
      <c r="AS43" s="207">
        <v>20</v>
      </c>
      <c r="AT43" s="207" t="s">
        <v>287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8" x14ac:dyDescent="0.25">
      <c r="A44" s="223" t="s">
        <v>397</v>
      </c>
      <c r="B44" s="224" t="s">
        <v>146</v>
      </c>
      <c r="C44" s="224">
        <v>18</v>
      </c>
      <c r="D44" s="224" t="s">
        <v>398</v>
      </c>
      <c r="E44" s="225" t="str">
        <f t="shared" ca="1" si="8"/>
        <v>R</v>
      </c>
      <c r="F44" s="347"/>
      <c r="G44" s="348">
        <f t="shared" ca="1" si="1"/>
        <v>57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308</v>
      </c>
      <c r="AR44" s="207" t="s">
        <v>146</v>
      </c>
      <c r="AS44" s="207">
        <v>18</v>
      </c>
      <c r="AT44" s="207" t="s">
        <v>309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ht="13.8" x14ac:dyDescent="0.25">
      <c r="A45" s="223" t="s">
        <v>288</v>
      </c>
      <c r="B45" s="224" t="s">
        <v>146</v>
      </c>
      <c r="C45" s="224">
        <v>18</v>
      </c>
      <c r="D45" s="224" t="s">
        <v>289</v>
      </c>
      <c r="E45" s="225" t="str">
        <f t="shared" ca="1" si="8"/>
        <v>R</v>
      </c>
      <c r="F45" s="347"/>
      <c r="G45" s="348">
        <f t="shared" ca="1" si="1"/>
        <v>28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290</v>
      </c>
      <c r="AR45" s="207" t="s">
        <v>146</v>
      </c>
      <c r="AS45" s="207">
        <v>18</v>
      </c>
      <c r="AT45" s="207" t="s">
        <v>291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302</v>
      </c>
      <c r="B46" s="224" t="s">
        <v>146</v>
      </c>
      <c r="C46" s="224">
        <v>18</v>
      </c>
      <c r="D46" s="224" t="s">
        <v>303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248</v>
      </c>
      <c r="AR46" s="207" t="s">
        <v>146</v>
      </c>
      <c r="AS46" s="207">
        <v>18</v>
      </c>
      <c r="AT46" s="207" t="s">
        <v>249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304</v>
      </c>
      <c r="B47" s="224" t="s">
        <v>146</v>
      </c>
      <c r="C47" s="224">
        <v>18</v>
      </c>
      <c r="D47" s="224" t="s">
        <v>305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294</v>
      </c>
      <c r="AR47" s="207" t="s">
        <v>145</v>
      </c>
      <c r="AS47" s="207">
        <v>19</v>
      </c>
      <c r="AT47" s="207" t="s">
        <v>295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306</v>
      </c>
      <c r="B48" s="224" t="s">
        <v>146</v>
      </c>
      <c r="C48" s="224">
        <v>18</v>
      </c>
      <c r="D48" s="224" t="s">
        <v>307</v>
      </c>
      <c r="E48" s="225" t="str">
        <f t="shared" ca="1" si="8"/>
        <v>R</v>
      </c>
      <c r="F48" s="347"/>
      <c r="G48" s="348">
        <f t="shared" ca="1" si="1"/>
        <v>39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310</v>
      </c>
      <c r="AR48" s="207" t="s">
        <v>147</v>
      </c>
      <c r="AS48" s="207">
        <v>17</v>
      </c>
      <c r="AT48" s="207" t="s">
        <v>311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8" x14ac:dyDescent="0.25">
      <c r="A49" s="223" t="s">
        <v>308</v>
      </c>
      <c r="B49" s="224" t="s">
        <v>146</v>
      </c>
      <c r="C49" s="224">
        <v>18</v>
      </c>
      <c r="D49" s="224" t="s">
        <v>309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357</v>
      </c>
      <c r="AR49" s="207" t="s">
        <v>145</v>
      </c>
      <c r="AS49" s="207">
        <v>19</v>
      </c>
      <c r="AT49" s="207" t="s">
        <v>358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ht="13.8" x14ac:dyDescent="0.25">
      <c r="A50" s="223" t="s">
        <v>290</v>
      </c>
      <c r="B50" s="224" t="s">
        <v>146</v>
      </c>
      <c r="C50" s="224">
        <v>18</v>
      </c>
      <c r="D50" s="224" t="s">
        <v>291</v>
      </c>
      <c r="E50" s="225" t="str">
        <f t="shared" ca="1" si="8"/>
        <v>R</v>
      </c>
      <c r="F50" s="347"/>
      <c r="G50" s="348">
        <f t="shared" ca="1" si="1"/>
        <v>42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296</v>
      </c>
      <c r="AR50" s="207" t="s">
        <v>145</v>
      </c>
      <c r="AS50" s="207">
        <v>19</v>
      </c>
      <c r="AT50" s="207" t="s">
        <v>297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8" x14ac:dyDescent="0.25">
      <c r="A51" s="223" t="s">
        <v>248</v>
      </c>
      <c r="B51" s="224" t="s">
        <v>146</v>
      </c>
      <c r="C51" s="224">
        <v>18</v>
      </c>
      <c r="D51" s="224" t="s">
        <v>249</v>
      </c>
      <c r="E51" s="225" t="str">
        <f t="shared" ca="1" si="8"/>
        <v>MR</v>
      </c>
      <c r="F51" s="347"/>
      <c r="G51" s="348">
        <f t="shared" ca="1" si="1"/>
        <v>43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298</v>
      </c>
      <c r="AR51" s="207" t="s">
        <v>171</v>
      </c>
      <c r="AS51" s="207">
        <v>21</v>
      </c>
      <c r="AT51" s="207" t="s">
        <v>299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ht="13.8" x14ac:dyDescent="0.25">
      <c r="A52" s="223" t="s">
        <v>399</v>
      </c>
      <c r="B52" s="224" t="s">
        <v>146</v>
      </c>
      <c r="C52" s="224">
        <v>18</v>
      </c>
      <c r="D52" s="224" t="s">
        <v>400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379</v>
      </c>
      <c r="AR52" s="207" t="s">
        <v>145</v>
      </c>
      <c r="AS52" s="207">
        <v>19</v>
      </c>
      <c r="AT52" s="207" t="s">
        <v>385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8" x14ac:dyDescent="0.2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52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399</v>
      </c>
      <c r="AR53" s="207" t="s">
        <v>146</v>
      </c>
      <c r="AS53" s="207">
        <v>18</v>
      </c>
      <c r="AT53" s="207" t="s">
        <v>400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8" x14ac:dyDescent="0.2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300</v>
      </c>
      <c r="AR54" s="207" t="s">
        <v>145</v>
      </c>
      <c r="AS54" s="207">
        <v>19</v>
      </c>
      <c r="AT54" s="207" t="s">
        <v>301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8" x14ac:dyDescent="0.2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8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355</v>
      </c>
      <c r="AR55" s="207" t="s">
        <v>144</v>
      </c>
      <c r="AS55" s="207">
        <v>20</v>
      </c>
      <c r="AT55" s="207" t="s">
        <v>356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ht="13.8" x14ac:dyDescent="0.25">
      <c r="A56" s="223" t="s">
        <v>310</v>
      </c>
      <c r="B56" s="224" t="s">
        <v>147</v>
      </c>
      <c r="C56" s="224">
        <v>17</v>
      </c>
      <c r="D56" s="224" t="s">
        <v>311</v>
      </c>
      <c r="E56" s="225" t="str">
        <f t="shared" ca="1" si="8"/>
        <v>R</v>
      </c>
      <c r="F56" s="347"/>
      <c r="G56" s="348">
        <f t="shared" ca="1" si="1"/>
        <v>62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364</v>
      </c>
      <c r="AR56" s="207" t="s">
        <v>145</v>
      </c>
      <c r="AS56" s="207">
        <v>19</v>
      </c>
      <c r="AT56" s="207" t="s">
        <v>365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ht="13.8" x14ac:dyDescent="0.25">
      <c r="A57" s="223" t="s">
        <v>292</v>
      </c>
      <c r="B57" s="224" t="s">
        <v>178</v>
      </c>
      <c r="C57" s="224">
        <v>16</v>
      </c>
      <c r="D57" s="224" t="s">
        <v>293</v>
      </c>
      <c r="E57" s="225" t="str">
        <f t="shared" ca="1" si="8"/>
        <v>R</v>
      </c>
      <c r="F57" s="347"/>
      <c r="G57" s="348">
        <f t="shared" ca="1" si="1"/>
        <v>60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56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252</v>
      </c>
      <c r="AR57" s="207" t="s">
        <v>144</v>
      </c>
      <c r="AS57" s="207">
        <v>20</v>
      </c>
      <c r="AT57" s="207" t="s">
        <v>253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ht="13.8" x14ac:dyDescent="0.2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8"/>
        <v>R</v>
      </c>
      <c r="F58" s="347"/>
      <c r="G58" s="348">
        <f t="shared" ca="1" si="1"/>
        <v>58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57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256</v>
      </c>
      <c r="AR58" s="207" t="s">
        <v>144</v>
      </c>
      <c r="AS58" s="207">
        <v>20</v>
      </c>
      <c r="AT58" s="207" t="s">
        <v>257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394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381</v>
      </c>
      <c r="B62" s="224"/>
      <c r="C62" s="224"/>
      <c r="D62" s="224" t="s">
        <v>369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64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381</v>
      </c>
      <c r="AR65" s="207"/>
      <c r="AS65" s="207"/>
      <c r="AT65" s="207" t="s">
        <v>369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18.735849056603772</v>
      </c>
      <c r="E77" s="191"/>
      <c r="G77" s="352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-- 2014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Reg_Percent_2013</v>
      </c>
      <c r="G2" s="172" t="s">
        <v>401</v>
      </c>
      <c r="AJ2" s="173" t="str">
        <f>AJ4 &amp; AJ3</f>
        <v>'Credit_2014Q2'!d:d</v>
      </c>
      <c r="AK2" s="173" t="str">
        <f>AK4 &amp; AK3</f>
        <v>'Credit_2014Q2'!b1</v>
      </c>
      <c r="AL2" s="173" t="str">
        <f>AL4 &amp; AL3</f>
        <v>'Credit_2014Q2'!c1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'Credit_2014Q2'!</v>
      </c>
      <c r="AK4" s="169" t="str">
        <f t="shared" ref="AK4:AL4" si="0">$AQ$5</f>
        <v>'Credit_2014Q2'!</v>
      </c>
      <c r="AL4" s="169" t="str">
        <f t="shared" si="0"/>
        <v>'Credit_2014Q2'!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(53)</v>
      </c>
      <c r="M5" s="374"/>
      <c r="N5" s="230"/>
      <c r="O5" s="372" t="str">
        <f ca="1">"Regulated" &amp; CHAR( 10 ) &amp; "(" &amp; O14 &amp; ")"</f>
        <v>Regulated
(38)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408</v>
      </c>
    </row>
    <row r="6" spans="1:61" ht="28.5" customHeight="1" x14ac:dyDescent="0.25">
      <c r="A6" s="219" t="s">
        <v>217</v>
      </c>
      <c r="B6" s="220" t="s">
        <v>58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ca="1">IF( LEN( $G7 ) = 0, "", OFFSET( INDIRECT( E$3 &amp; E$4 ), $G7 - 1, 0 ) )</f>
        <v>R</v>
      </c>
      <c r="F7" s="347"/>
      <c r="G7" s="348">
        <f t="shared" ref="G7:G64" ca="1" si="1">IF( LEN( $D7 ) = 0, "", MATCH( $D7, INDIRECT( G$3 &amp; G$4 ), 0 ) )</f>
        <v>47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4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405</v>
      </c>
      <c r="B12" s="224" t="s">
        <v>144</v>
      </c>
      <c r="C12" s="224">
        <v>20</v>
      </c>
      <c r="D12" s="224" t="s">
        <v>406</v>
      </c>
      <c r="E12" s="225" t="str">
        <f t="shared" ca="1" si="8"/>
        <v>R</v>
      </c>
      <c r="F12" s="347"/>
      <c r="G12" s="348">
        <f t="shared" ca="1" si="1"/>
        <v>29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404</v>
      </c>
      <c r="B14" s="224" t="s">
        <v>144</v>
      </c>
      <c r="C14" s="224">
        <v>20</v>
      </c>
      <c r="D14" s="224" t="s">
        <v>241</v>
      </c>
      <c r="E14" s="225" t="str">
        <f t="shared" ca="1" si="8"/>
        <v>R</v>
      </c>
      <c r="F14" s="347"/>
      <c r="G14" s="348">
        <f t="shared" ca="1" si="1"/>
        <v>34</v>
      </c>
      <c r="H14" s="349"/>
      <c r="I14" s="236"/>
      <c r="J14" s="211" t="s">
        <v>149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388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18.716981132075471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18.605263157894736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19.153846153846153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146</v>
      </c>
      <c r="AS16" s="207">
        <v>18</v>
      </c>
      <c r="AT16" s="207" t="s">
        <v>262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355</v>
      </c>
      <c r="B17" s="224" t="s">
        <v>144</v>
      </c>
      <c r="C17" s="224">
        <v>20</v>
      </c>
      <c r="D17" s="224" t="s">
        <v>356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371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145</v>
      </c>
      <c r="AS21" s="207">
        <v>19</v>
      </c>
      <c r="AT21" s="207" t="s">
        <v>269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220</v>
      </c>
      <c r="B22" s="224" t="s">
        <v>145</v>
      </c>
      <c r="C22" s="224">
        <v>19</v>
      </c>
      <c r="D22" s="224" t="s">
        <v>221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8" x14ac:dyDescent="0.25">
      <c r="A23" s="223" t="s">
        <v>259</v>
      </c>
      <c r="B23" s="224" t="s">
        <v>145</v>
      </c>
      <c r="C23" s="224">
        <v>19</v>
      </c>
      <c r="D23" s="224" t="s">
        <v>388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338</v>
      </c>
      <c r="AR23" s="207" t="s">
        <v>146</v>
      </c>
      <c r="AS23" s="207">
        <v>18</v>
      </c>
      <c r="AT23" s="207" t="s">
        <v>341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266</v>
      </c>
      <c r="B24" s="224" t="s">
        <v>145</v>
      </c>
      <c r="C24" s="224">
        <v>19</v>
      </c>
      <c r="D24" s="224" t="s">
        <v>267</v>
      </c>
      <c r="E24" s="225" t="str">
        <f t="shared" ca="1" si="8"/>
        <v>R</v>
      </c>
      <c r="F24" s="347"/>
      <c r="G24" s="348">
        <f t="shared" ca="1" si="1"/>
        <v>18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377</v>
      </c>
      <c r="AR24" s="207" t="s">
        <v>146</v>
      </c>
      <c r="AS24" s="207">
        <v>18</v>
      </c>
      <c r="AT24" s="207" t="s">
        <v>378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ht="13.8" x14ac:dyDescent="0.25">
      <c r="A25" s="223" t="s">
        <v>268</v>
      </c>
      <c r="B25" s="224" t="s">
        <v>145</v>
      </c>
      <c r="C25" s="224">
        <v>19</v>
      </c>
      <c r="D25" s="224" t="s">
        <v>269</v>
      </c>
      <c r="E25" s="225" t="str">
        <f t="shared" ca="1" si="8"/>
        <v>R</v>
      </c>
      <c r="F25" s="347"/>
      <c r="G25" s="348">
        <f t="shared" ca="1" si="1"/>
        <v>19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ht="13.8" x14ac:dyDescent="0.25">
      <c r="A26" s="223" t="s">
        <v>270</v>
      </c>
      <c r="B26" s="224" t="s">
        <v>145</v>
      </c>
      <c r="C26" s="224">
        <v>19</v>
      </c>
      <c r="D26" s="224" t="s">
        <v>271</v>
      </c>
      <c r="E26" s="225" t="str">
        <f t="shared" ca="1" si="8"/>
        <v>R</v>
      </c>
      <c r="F26" s="347"/>
      <c r="G26" s="348">
        <f t="shared" ca="1" si="1"/>
        <v>20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ht="13.8" x14ac:dyDescent="0.25">
      <c r="A27" s="223" t="s">
        <v>362</v>
      </c>
      <c r="B27" s="224" t="s">
        <v>145</v>
      </c>
      <c r="C27" s="224">
        <v>19</v>
      </c>
      <c r="D27" s="224" t="s">
        <v>363</v>
      </c>
      <c r="E27" s="225" t="str">
        <f t="shared" ca="1" si="8"/>
        <v>R</v>
      </c>
      <c r="F27" s="347"/>
      <c r="G27" s="348">
        <f t="shared" ca="1" si="1"/>
        <v>26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ht="13.8" x14ac:dyDescent="0.25">
      <c r="A28" s="223" t="s">
        <v>276</v>
      </c>
      <c r="B28" s="224" t="s">
        <v>145</v>
      </c>
      <c r="C28" s="224">
        <v>19</v>
      </c>
      <c r="D28" s="224" t="s">
        <v>277</v>
      </c>
      <c r="E28" s="225" t="str">
        <f t="shared" ca="1" si="8"/>
        <v>D</v>
      </c>
      <c r="F28" s="347"/>
      <c r="G28" s="348">
        <f t="shared" ca="1" si="1"/>
        <v>30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362</v>
      </c>
      <c r="AR28" s="207" t="s">
        <v>145</v>
      </c>
      <c r="AS28" s="207">
        <v>19</v>
      </c>
      <c r="AT28" s="207" t="s">
        <v>363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ht="13.8" x14ac:dyDescent="0.25">
      <c r="A29" s="223" t="s">
        <v>392</v>
      </c>
      <c r="B29" s="224" t="s">
        <v>145</v>
      </c>
      <c r="C29" s="224">
        <v>19</v>
      </c>
      <c r="D29" s="224" t="s">
        <v>393</v>
      </c>
      <c r="E29" s="225" t="str">
        <f t="shared" ca="1" si="8"/>
        <v>R</v>
      </c>
      <c r="F29" s="347"/>
      <c r="G29" s="348">
        <f t="shared" ca="1" si="1"/>
        <v>38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ht="13.8" x14ac:dyDescent="0.25">
      <c r="A30" s="223" t="s">
        <v>294</v>
      </c>
      <c r="B30" s="224" t="s">
        <v>145</v>
      </c>
      <c r="C30" s="224">
        <v>19</v>
      </c>
      <c r="D30" s="224" t="s">
        <v>295</v>
      </c>
      <c r="E30" s="225" t="str">
        <f t="shared" ca="1" si="8"/>
        <v>MR</v>
      </c>
      <c r="F30" s="347"/>
      <c r="G30" s="348">
        <f t="shared" ca="1" si="1"/>
        <v>44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397</v>
      </c>
      <c r="AR30" s="207" t="s">
        <v>146</v>
      </c>
      <c r="AS30" s="207">
        <v>18</v>
      </c>
      <c r="AT30" s="207" t="s">
        <v>398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ht="13.8" x14ac:dyDescent="0.25">
      <c r="A31" s="223" t="s">
        <v>357</v>
      </c>
      <c r="B31" s="224" t="s">
        <v>145</v>
      </c>
      <c r="C31" s="224">
        <v>19</v>
      </c>
      <c r="D31" s="224" t="s">
        <v>358</v>
      </c>
      <c r="E31" s="225" t="str">
        <f t="shared" ca="1" si="8"/>
        <v>MR</v>
      </c>
      <c r="F31" s="347"/>
      <c r="G31" s="348">
        <f t="shared" ca="1" si="1"/>
        <v>45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ht="13.8" x14ac:dyDescent="0.25">
      <c r="A32" s="223" t="s">
        <v>296</v>
      </c>
      <c r="B32" s="224" t="s">
        <v>145</v>
      </c>
      <c r="C32" s="224">
        <v>19</v>
      </c>
      <c r="D32" s="224" t="s">
        <v>297</v>
      </c>
      <c r="E32" s="225" t="str">
        <f t="shared" ca="1" si="8"/>
        <v>MR</v>
      </c>
      <c r="F32" s="347"/>
      <c r="G32" s="348">
        <f t="shared" ca="1" si="1"/>
        <v>46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ht="13.8" x14ac:dyDescent="0.25">
      <c r="A33" s="223" t="s">
        <v>379</v>
      </c>
      <c r="B33" s="224" t="s">
        <v>145</v>
      </c>
      <c r="C33" s="224">
        <v>19</v>
      </c>
      <c r="D33" s="224" t="s">
        <v>385</v>
      </c>
      <c r="E33" s="225" t="str">
        <f t="shared" ca="1" si="8"/>
        <v>R</v>
      </c>
      <c r="F33" s="347"/>
      <c r="G33" s="348">
        <f t="shared" ca="1" si="1"/>
        <v>48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ht="13.8" x14ac:dyDescent="0.25">
      <c r="A34" s="223" t="s">
        <v>364</v>
      </c>
      <c r="B34" s="224" t="s">
        <v>145</v>
      </c>
      <c r="C34" s="224">
        <v>19</v>
      </c>
      <c r="D34" s="224" t="s">
        <v>365</v>
      </c>
      <c r="E34" s="225" t="str">
        <f t="shared" ca="1" si="8"/>
        <v>R</v>
      </c>
      <c r="F34" s="347"/>
      <c r="G34" s="348">
        <f t="shared" ca="1" si="1"/>
        <v>53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ht="13.8" x14ac:dyDescent="0.25">
      <c r="A35" s="223" t="s">
        <v>227</v>
      </c>
      <c r="B35" s="224" t="s">
        <v>146</v>
      </c>
      <c r="C35" s="224">
        <v>18</v>
      </c>
      <c r="D35" s="224" t="s">
        <v>228</v>
      </c>
      <c r="E35" s="225" t="str">
        <f t="shared" ca="1" si="8"/>
        <v>R</v>
      </c>
      <c r="F35" s="347"/>
      <c r="G35" s="348">
        <f t="shared" ca="1" si="1"/>
        <v>10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ht="13.8" x14ac:dyDescent="0.25">
      <c r="A36" s="223" t="s">
        <v>243</v>
      </c>
      <c r="B36" s="224" t="s">
        <v>146</v>
      </c>
      <c r="C36" s="224">
        <v>18</v>
      </c>
      <c r="D36" s="224" t="s">
        <v>244</v>
      </c>
      <c r="E36" s="225" t="str">
        <f t="shared" ca="1" si="8"/>
        <v>R</v>
      </c>
      <c r="F36" s="347"/>
      <c r="G36" s="348">
        <f t="shared" ca="1" si="1"/>
        <v>11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278</v>
      </c>
      <c r="AR36" s="207" t="s">
        <v>147</v>
      </c>
      <c r="AS36" s="207">
        <v>17</v>
      </c>
      <c r="AT36" s="207" t="s">
        <v>279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ht="13.8" x14ac:dyDescent="0.25">
      <c r="A37" s="223" t="s">
        <v>250</v>
      </c>
      <c r="B37" s="224" t="s">
        <v>146</v>
      </c>
      <c r="C37" s="224">
        <v>18</v>
      </c>
      <c r="D37" s="224" t="s">
        <v>251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404</v>
      </c>
      <c r="AR37" s="207" t="s">
        <v>144</v>
      </c>
      <c r="AS37" s="207">
        <v>20</v>
      </c>
      <c r="AT37" s="207" t="s">
        <v>241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ht="13.8" x14ac:dyDescent="0.25">
      <c r="A38" s="223" t="s">
        <v>261</v>
      </c>
      <c r="B38" s="224" t="s">
        <v>146</v>
      </c>
      <c r="C38" s="224">
        <v>18</v>
      </c>
      <c r="D38" s="224" t="s">
        <v>262</v>
      </c>
      <c r="E38" s="225" t="str">
        <f t="shared" ca="1" si="8"/>
        <v>R</v>
      </c>
      <c r="F38" s="347"/>
      <c r="G38" s="348">
        <f t="shared" ca="1" si="1"/>
        <v>15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302</v>
      </c>
      <c r="AR38" s="207" t="s">
        <v>146</v>
      </c>
      <c r="AS38" s="207">
        <v>18</v>
      </c>
      <c r="AT38" s="207" t="s">
        <v>303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ht="13.8" x14ac:dyDescent="0.25">
      <c r="A39" s="223" t="s">
        <v>338</v>
      </c>
      <c r="B39" s="224" t="s">
        <v>146</v>
      </c>
      <c r="C39" s="224">
        <v>18</v>
      </c>
      <c r="D39" s="224" t="s">
        <v>341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282</v>
      </c>
      <c r="AR39" s="207" t="s">
        <v>144</v>
      </c>
      <c r="AS39" s="207">
        <v>20</v>
      </c>
      <c r="AT39" s="207" t="s">
        <v>283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8" x14ac:dyDescent="0.25">
      <c r="A40" s="223" t="s">
        <v>377</v>
      </c>
      <c r="B40" s="224" t="s">
        <v>146</v>
      </c>
      <c r="C40" s="224">
        <v>18</v>
      </c>
      <c r="D40" s="224" t="s">
        <v>378</v>
      </c>
      <c r="E40" s="225" t="str">
        <f t="shared" ca="1" si="8"/>
        <v>R</v>
      </c>
      <c r="F40" s="347"/>
      <c r="G40" s="348">
        <f t="shared" ca="1" si="1"/>
        <v>22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304</v>
      </c>
      <c r="AR40" s="207" t="s">
        <v>146</v>
      </c>
      <c r="AS40" s="207">
        <v>18</v>
      </c>
      <c r="AT40" s="207" t="s">
        <v>305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ht="13.8" x14ac:dyDescent="0.25">
      <c r="A41" s="223" t="s">
        <v>272</v>
      </c>
      <c r="B41" s="224" t="s">
        <v>146</v>
      </c>
      <c r="C41" s="224">
        <v>18</v>
      </c>
      <c r="D41" s="224" t="s">
        <v>273</v>
      </c>
      <c r="E41" s="225" t="str">
        <f t="shared" ca="1" si="8"/>
        <v>R</v>
      </c>
      <c r="F41" s="347"/>
      <c r="G41" s="348">
        <f t="shared" ca="1" si="1"/>
        <v>23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392</v>
      </c>
      <c r="AR41" s="207" t="s">
        <v>145</v>
      </c>
      <c r="AS41" s="207">
        <v>19</v>
      </c>
      <c r="AT41" s="207" t="s">
        <v>393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ht="13.8" x14ac:dyDescent="0.25">
      <c r="A42" s="223" t="s">
        <v>274</v>
      </c>
      <c r="B42" s="224" t="s">
        <v>146</v>
      </c>
      <c r="C42" s="224">
        <v>18</v>
      </c>
      <c r="D42" s="224" t="s">
        <v>275</v>
      </c>
      <c r="E42" s="225" t="str">
        <f t="shared" ca="1" si="8"/>
        <v>MR</v>
      </c>
      <c r="F42" s="347"/>
      <c r="G42" s="348">
        <f t="shared" ca="1" si="1"/>
        <v>24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306</v>
      </c>
      <c r="AR42" s="207" t="s">
        <v>146</v>
      </c>
      <c r="AS42" s="207">
        <v>18</v>
      </c>
      <c r="AT42" s="207" t="s">
        <v>307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8" x14ac:dyDescent="0.25">
      <c r="A43" s="223" t="s">
        <v>397</v>
      </c>
      <c r="B43" s="224" t="s">
        <v>146</v>
      </c>
      <c r="C43" s="224">
        <v>18</v>
      </c>
      <c r="D43" s="224" t="s">
        <v>398</v>
      </c>
      <c r="E43" s="225" t="str">
        <f t="shared" ca="1" si="8"/>
        <v>R</v>
      </c>
      <c r="F43" s="347"/>
      <c r="G43" s="348">
        <f t="shared" ca="1" si="1"/>
        <v>57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286</v>
      </c>
      <c r="AR43" s="207" t="s">
        <v>144</v>
      </c>
      <c r="AS43" s="207">
        <v>20</v>
      </c>
      <c r="AT43" s="207" t="s">
        <v>287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ht="13.8" x14ac:dyDescent="0.25">
      <c r="A44" s="223" t="s">
        <v>288</v>
      </c>
      <c r="B44" s="224" t="s">
        <v>146</v>
      </c>
      <c r="C44" s="224">
        <v>18</v>
      </c>
      <c r="D44" s="224" t="s">
        <v>289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308</v>
      </c>
      <c r="AR44" s="207" t="s">
        <v>146</v>
      </c>
      <c r="AS44" s="207">
        <v>18</v>
      </c>
      <c r="AT44" s="207" t="s">
        <v>309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8" x14ac:dyDescent="0.2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290</v>
      </c>
      <c r="AR45" s="207" t="s">
        <v>146</v>
      </c>
      <c r="AS45" s="207">
        <v>18</v>
      </c>
      <c r="AT45" s="207" t="s">
        <v>291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37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248</v>
      </c>
      <c r="AR46" s="207" t="s">
        <v>146</v>
      </c>
      <c r="AS46" s="207">
        <v>18</v>
      </c>
      <c r="AT46" s="207" t="s">
        <v>249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306</v>
      </c>
      <c r="B47" s="224" t="s">
        <v>146</v>
      </c>
      <c r="C47" s="224">
        <v>18</v>
      </c>
      <c r="D47" s="224" t="s">
        <v>307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294</v>
      </c>
      <c r="AR47" s="207" t="s">
        <v>145</v>
      </c>
      <c r="AS47" s="207">
        <v>19</v>
      </c>
      <c r="AT47" s="207" t="s">
        <v>295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8" x14ac:dyDescent="0.25">
      <c r="A48" s="223" t="s">
        <v>308</v>
      </c>
      <c r="B48" s="224" t="s">
        <v>146</v>
      </c>
      <c r="C48" s="224">
        <v>18</v>
      </c>
      <c r="D48" s="224" t="s">
        <v>309</v>
      </c>
      <c r="E48" s="225" t="str">
        <f t="shared" ca="1" si="8"/>
        <v>R</v>
      </c>
      <c r="F48" s="347"/>
      <c r="G48" s="348">
        <f t="shared" ca="1" si="1"/>
        <v>41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310</v>
      </c>
      <c r="AR48" s="207" t="s">
        <v>147</v>
      </c>
      <c r="AS48" s="207">
        <v>17</v>
      </c>
      <c r="AT48" s="207" t="s">
        <v>311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ht="13.8" x14ac:dyDescent="0.2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42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357</v>
      </c>
      <c r="AR49" s="207" t="s">
        <v>145</v>
      </c>
      <c r="AS49" s="207">
        <v>19</v>
      </c>
      <c r="AT49" s="207" t="s">
        <v>358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248</v>
      </c>
      <c r="B50" s="224" t="s">
        <v>146</v>
      </c>
      <c r="C50" s="224">
        <v>18</v>
      </c>
      <c r="D50" s="224" t="s">
        <v>249</v>
      </c>
      <c r="E50" s="225" t="str">
        <f t="shared" ca="1" si="8"/>
        <v>MR</v>
      </c>
      <c r="F50" s="347"/>
      <c r="G50" s="348">
        <f t="shared" ca="1" si="1"/>
        <v>43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296</v>
      </c>
      <c r="AR50" s="207" t="s">
        <v>145</v>
      </c>
      <c r="AS50" s="207">
        <v>19</v>
      </c>
      <c r="AT50" s="207" t="s">
        <v>297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ht="13.8" x14ac:dyDescent="0.25">
      <c r="A51" s="223" t="s">
        <v>399</v>
      </c>
      <c r="B51" s="224" t="s">
        <v>146</v>
      </c>
      <c r="C51" s="224">
        <v>18</v>
      </c>
      <c r="D51" s="224" t="s">
        <v>400</v>
      </c>
      <c r="E51" s="225" t="str">
        <f t="shared" ca="1" si="8"/>
        <v>R</v>
      </c>
      <c r="F51" s="347"/>
      <c r="G51" s="348">
        <f t="shared" ca="1" si="1"/>
        <v>49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298</v>
      </c>
      <c r="AR51" s="207" t="s">
        <v>171</v>
      </c>
      <c r="AS51" s="207">
        <v>21</v>
      </c>
      <c r="AT51" s="207" t="s">
        <v>299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ht="13.8" x14ac:dyDescent="0.2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379</v>
      </c>
      <c r="AR52" s="207" t="s">
        <v>145</v>
      </c>
      <c r="AS52" s="207">
        <v>19</v>
      </c>
      <c r="AT52" s="207" t="s">
        <v>385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399</v>
      </c>
      <c r="AR53" s="207" t="s">
        <v>146</v>
      </c>
      <c r="AS53" s="207">
        <v>18</v>
      </c>
      <c r="AT53" s="207" t="s">
        <v>400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8"/>
        <v>MR</v>
      </c>
      <c r="F54" s="347"/>
      <c r="G54" s="348">
        <f t="shared" ca="1" si="1"/>
        <v>33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355</v>
      </c>
      <c r="AR54" s="207" t="s">
        <v>144</v>
      </c>
      <c r="AS54" s="207">
        <v>20</v>
      </c>
      <c r="AT54" s="207" t="s">
        <v>356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8" x14ac:dyDescent="0.2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364</v>
      </c>
      <c r="AR55" s="207" t="s">
        <v>145</v>
      </c>
      <c r="AS55" s="207">
        <v>19</v>
      </c>
      <c r="AT55" s="207" t="s">
        <v>365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252</v>
      </c>
      <c r="AR56" s="207" t="s">
        <v>144</v>
      </c>
      <c r="AS56" s="207">
        <v>20</v>
      </c>
      <c r="AT56" s="207" t="s">
        <v>253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256</v>
      </c>
      <c r="AR57" s="207" t="s">
        <v>144</v>
      </c>
      <c r="AS57" s="207">
        <v>20</v>
      </c>
      <c r="AT57" s="207" t="s">
        <v>257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394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409</v>
      </c>
      <c r="B62" s="224" t="s">
        <v>146</v>
      </c>
      <c r="C62" s="224">
        <v>18</v>
      </c>
      <c r="D62" s="224" t="s">
        <v>410</v>
      </c>
      <c r="E62" s="225" t="str">
        <f t="shared" ca="1" si="8"/>
        <v>R</v>
      </c>
      <c r="F62" s="347"/>
      <c r="G62" s="348">
        <f t="shared" ca="1" si="1"/>
        <v>51</v>
      </c>
      <c r="H62" s="349"/>
      <c r="I62" s="349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62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 t="s">
        <v>411</v>
      </c>
      <c r="B63" s="224"/>
      <c r="C63" s="224"/>
      <c r="D63" s="224" t="s">
        <v>386</v>
      </c>
      <c r="E63" s="225" t="str">
        <f t="shared" ca="1" si="8"/>
        <v>R</v>
      </c>
      <c r="F63" s="347"/>
      <c r="G63" s="348">
        <f t="shared" ca="1" si="1"/>
        <v>50</v>
      </c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63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 t="s">
        <v>381</v>
      </c>
      <c r="B64" s="224"/>
      <c r="C64" s="224"/>
      <c r="D64" s="224" t="s">
        <v>369</v>
      </c>
      <c r="E64" s="225" t="str">
        <f t="shared" ca="1" si="8"/>
        <v>D</v>
      </c>
      <c r="F64" s="347"/>
      <c r="G64" s="348">
        <f t="shared" ca="1" si="1"/>
        <v>59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412</v>
      </c>
      <c r="AR65" s="207" t="s">
        <v>146</v>
      </c>
      <c r="AS65" s="207">
        <v>18</v>
      </c>
      <c r="AT65" s="207" t="s">
        <v>410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411</v>
      </c>
      <c r="AR66" s="207"/>
      <c r="AS66" s="207"/>
      <c r="AT66" s="207" t="s">
        <v>386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381</v>
      </c>
      <c r="AR67" s="207"/>
      <c r="AS67" s="207"/>
      <c r="AT67" s="207" t="s">
        <v>369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413</v>
      </c>
      <c r="D74" s="204"/>
      <c r="F74" s="206"/>
      <c r="H74" s="206"/>
      <c r="I74" s="206"/>
    </row>
    <row r="75" spans="1:58" x14ac:dyDescent="0.2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 t="s">
        <v>321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18.69811320754717</v>
      </c>
      <c r="E78" s="191"/>
      <c r="G78" s="352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-- 2014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Reg_Percent_2013</v>
      </c>
      <c r="G2" s="172" t="s">
        <v>401</v>
      </c>
      <c r="AJ2" s="173" t="str">
        <f>AJ4 &amp; AJ3</f>
        <v>'Credit_2014Q1'!d:d</v>
      </c>
      <c r="AK2" s="173" t="str">
        <f>AK4 &amp; AK3</f>
        <v>'Credit_2014Q1'!b1</v>
      </c>
      <c r="AL2" s="173" t="str">
        <f>AL4 &amp; AL3</f>
        <v>'Credit_2014Q1'!c1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'Credit_2014Q1'!</v>
      </c>
      <c r="AK4" s="169" t="str">
        <f t="shared" ref="AK4:AL4" si="0">$AQ$5</f>
        <v>'Credit_2014Q1'!</v>
      </c>
      <c r="AL4" s="169" t="str">
        <f t="shared" si="0"/>
        <v>'Credit_2014Q1'!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(53)</v>
      </c>
      <c r="M5" s="374"/>
      <c r="N5" s="230"/>
      <c r="O5" s="372" t="str">
        <f ca="1">"Regulated" &amp; CHAR( 10 ) &amp; "(" &amp; O14 &amp; ")"</f>
        <v>Regulated
(38)</v>
      </c>
      <c r="P5" s="376"/>
      <c r="Q5" s="230"/>
      <c r="R5" s="372" t="str">
        <f ca="1">"Mostly Regulated" &amp; CHAR( 10 ) &amp; "(" &amp; R14 &amp; ")"</f>
        <v>Mostly Regulated
(13)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414</v>
      </c>
    </row>
    <row r="6" spans="1:61" ht="28.5" customHeight="1" x14ac:dyDescent="0.25">
      <c r="A6" s="219" t="s">
        <v>217</v>
      </c>
      <c r="B6" s="220" t="s">
        <v>57</v>
      </c>
      <c r="C6" s="249" t="s">
        <v>219</v>
      </c>
      <c r="D6" s="221"/>
      <c r="E6" s="222">
        <f ca="1">INDIRECT( E3 &amp; G1 )</f>
        <v>41639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ca="1">IF( LEN( $G7 ) = 0, "", OFFSET( INDIRECT( E$3 &amp; E$4 ), $G7 - 1, 0 ) )</f>
        <v>R</v>
      </c>
      <c r="F7" s="347"/>
      <c r="G7" s="348">
        <f t="shared" ref="G7:G64" ca="1" si="1">IF( LEN( $D7 ) = 0, "", MATCH( $D7, INDIRECT( G$3 &amp; G$4 ), 0 ) )</f>
        <v>47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4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405</v>
      </c>
      <c r="B12" s="224" t="s">
        <v>144</v>
      </c>
      <c r="C12" s="224">
        <v>20</v>
      </c>
      <c r="D12" s="224" t="s">
        <v>406</v>
      </c>
      <c r="E12" s="225" t="str">
        <f t="shared" ca="1" si="8"/>
        <v>R</v>
      </c>
      <c r="F12" s="347"/>
      <c r="G12" s="348">
        <f t="shared" ca="1" si="1"/>
        <v>29</v>
      </c>
      <c r="H12" s="349"/>
      <c r="I12" s="234"/>
      <c r="J12" s="215" t="s">
        <v>147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220</v>
      </c>
      <c r="AR12" s="207" t="s">
        <v>145</v>
      </c>
      <c r="AS12" s="207">
        <v>19</v>
      </c>
      <c r="AT12" s="207" t="s">
        <v>221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250</v>
      </c>
      <c r="AR13" s="207" t="s">
        <v>146</v>
      </c>
      <c r="AS13" s="207">
        <v>18</v>
      </c>
      <c r="AT13" s="207" t="s">
        <v>251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404</v>
      </c>
      <c r="B14" s="224" t="s">
        <v>144</v>
      </c>
      <c r="C14" s="224">
        <v>20</v>
      </c>
      <c r="D14" s="224" t="s">
        <v>241</v>
      </c>
      <c r="E14" s="225" t="str">
        <f t="shared" ca="1" si="8"/>
        <v>R</v>
      </c>
      <c r="F14" s="347"/>
      <c r="G14" s="348">
        <f t="shared" ca="1" si="1"/>
        <v>34</v>
      </c>
      <c r="H14" s="349"/>
      <c r="I14" s="236"/>
      <c r="J14" s="211" t="s">
        <v>149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254</v>
      </c>
      <c r="AR14" s="207" t="s">
        <v>144</v>
      </c>
      <c r="AS14" s="207">
        <v>20</v>
      </c>
      <c r="AT14" s="207" t="s">
        <v>255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259</v>
      </c>
      <c r="AR15" s="207" t="s">
        <v>145</v>
      </c>
      <c r="AS15" s="207">
        <v>19</v>
      </c>
      <c r="AT15" s="207" t="s">
        <v>388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18.716981132075471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18.605263157894736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19.153846153846153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261</v>
      </c>
      <c r="AR16" s="207" t="s">
        <v>146</v>
      </c>
      <c r="AS16" s="207">
        <v>18</v>
      </c>
      <c r="AT16" s="207" t="s">
        <v>262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355</v>
      </c>
      <c r="B17" s="224" t="s">
        <v>144</v>
      </c>
      <c r="C17" s="224">
        <v>20</v>
      </c>
      <c r="D17" s="224" t="s">
        <v>356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232</v>
      </c>
      <c r="AR17" s="207" t="s">
        <v>144</v>
      </c>
      <c r="AS17" s="207">
        <v>20</v>
      </c>
      <c r="AT17" s="207" t="s">
        <v>233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371</v>
      </c>
      <c r="AR18" s="207" t="s">
        <v>144</v>
      </c>
      <c r="AS18" s="207">
        <v>20</v>
      </c>
      <c r="AT18" s="207" t="s">
        <v>199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264</v>
      </c>
      <c r="AR19" s="207" t="s">
        <v>180</v>
      </c>
      <c r="AS19" s="207">
        <v>15</v>
      </c>
      <c r="AT19" s="207" t="s">
        <v>265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266</v>
      </c>
      <c r="AR20" s="207" t="s">
        <v>145</v>
      </c>
      <c r="AS20" s="207">
        <v>19</v>
      </c>
      <c r="AT20" s="207" t="s">
        <v>267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268</v>
      </c>
      <c r="AR21" s="207" t="s">
        <v>145</v>
      </c>
      <c r="AS21" s="207">
        <v>19</v>
      </c>
      <c r="AT21" s="207" t="s">
        <v>269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220</v>
      </c>
      <c r="B22" s="224" t="s">
        <v>145</v>
      </c>
      <c r="C22" s="224">
        <v>19</v>
      </c>
      <c r="D22" s="224" t="s">
        <v>221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26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270</v>
      </c>
      <c r="AR22" s="207" t="s">
        <v>145</v>
      </c>
      <c r="AS22" s="207">
        <v>19</v>
      </c>
      <c r="AT22" s="207" t="s">
        <v>271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8" x14ac:dyDescent="0.25">
      <c r="A23" s="223" t="s">
        <v>259</v>
      </c>
      <c r="B23" s="224" t="s">
        <v>145</v>
      </c>
      <c r="C23" s="224">
        <v>19</v>
      </c>
      <c r="D23" s="224" t="s">
        <v>388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338</v>
      </c>
      <c r="AR23" s="207" t="s">
        <v>146</v>
      </c>
      <c r="AS23" s="207">
        <v>18</v>
      </c>
      <c r="AT23" s="207" t="s">
        <v>341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266</v>
      </c>
      <c r="B24" s="224" t="s">
        <v>145</v>
      </c>
      <c r="C24" s="224">
        <v>19</v>
      </c>
      <c r="D24" s="224" t="s">
        <v>267</v>
      </c>
      <c r="E24" s="225" t="str">
        <f t="shared" ca="1" si="8"/>
        <v>R</v>
      </c>
      <c r="F24" s="347"/>
      <c r="G24" s="348">
        <f t="shared" ca="1" si="1"/>
        <v>18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377</v>
      </c>
      <c r="AR24" s="207" t="s">
        <v>146</v>
      </c>
      <c r="AS24" s="207">
        <v>18</v>
      </c>
      <c r="AT24" s="207" t="s">
        <v>378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ht="13.8" x14ac:dyDescent="0.25">
      <c r="A25" s="223" t="s">
        <v>268</v>
      </c>
      <c r="B25" s="224" t="s">
        <v>145</v>
      </c>
      <c r="C25" s="224">
        <v>19</v>
      </c>
      <c r="D25" s="224" t="s">
        <v>269</v>
      </c>
      <c r="E25" s="225" t="str">
        <f t="shared" ca="1" si="8"/>
        <v>R</v>
      </c>
      <c r="F25" s="347"/>
      <c r="G25" s="348">
        <f t="shared" ca="1" si="1"/>
        <v>19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ht="13.8" x14ac:dyDescent="0.25">
      <c r="A26" s="223" t="s">
        <v>270</v>
      </c>
      <c r="B26" s="224" t="s">
        <v>145</v>
      </c>
      <c r="C26" s="224">
        <v>19</v>
      </c>
      <c r="D26" s="224" t="s">
        <v>271</v>
      </c>
      <c r="E26" s="225" t="str">
        <f t="shared" ca="1" si="8"/>
        <v>R</v>
      </c>
      <c r="F26" s="347"/>
      <c r="G26" s="348">
        <f t="shared" ca="1" si="1"/>
        <v>20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8"/>
        <v/>
      </c>
      <c r="AJ26" s="169">
        <f t="shared" ca="1" si="19"/>
        <v>51</v>
      </c>
      <c r="AK26" s="169" t="str">
        <f t="shared" ca="1" si="20"/>
        <v>BBB-</v>
      </c>
      <c r="AL26" s="169">
        <f t="shared" ca="1" si="20"/>
        <v>17</v>
      </c>
      <c r="AM26" s="169" t="str">
        <f t="shared" ca="1" si="4"/>
        <v>Change</v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ht="13.8" x14ac:dyDescent="0.25">
      <c r="A27" s="223" t="s">
        <v>362</v>
      </c>
      <c r="B27" s="224" t="s">
        <v>145</v>
      </c>
      <c r="C27" s="224">
        <v>19</v>
      </c>
      <c r="D27" s="224" t="s">
        <v>363</v>
      </c>
      <c r="E27" s="225" t="str">
        <f t="shared" ca="1" si="8"/>
        <v>R</v>
      </c>
      <c r="F27" s="347"/>
      <c r="G27" s="348">
        <f t="shared" ca="1" si="1"/>
        <v>26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>
        <f t="shared" ca="1" si="3"/>
        <v>1</v>
      </c>
      <c r="AH27" s="169" t="str">
        <f t="shared" ca="1" si="18"/>
        <v/>
      </c>
      <c r="AJ27" s="169">
        <f t="shared" ca="1" si="19"/>
        <v>40</v>
      </c>
      <c r="AK27" s="169" t="str">
        <f t="shared" ca="1" si="20"/>
        <v>BBB</v>
      </c>
      <c r="AL27" s="169">
        <f t="shared" ca="1" si="20"/>
        <v>18</v>
      </c>
      <c r="AM27" s="169" t="str">
        <f t="shared" ca="1" si="4"/>
        <v>Change</v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ht="13.8" x14ac:dyDescent="0.25">
      <c r="A28" s="223" t="s">
        <v>276</v>
      </c>
      <c r="B28" s="224" t="s">
        <v>145</v>
      </c>
      <c r="C28" s="224">
        <v>19</v>
      </c>
      <c r="D28" s="224" t="s">
        <v>277</v>
      </c>
      <c r="E28" s="225" t="str">
        <f t="shared" ca="1" si="8"/>
        <v>D</v>
      </c>
      <c r="F28" s="347"/>
      <c r="G28" s="348">
        <f t="shared" ca="1" si="1"/>
        <v>30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25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362</v>
      </c>
      <c r="AR28" s="207" t="s">
        <v>145</v>
      </c>
      <c r="AS28" s="207">
        <v>19</v>
      </c>
      <c r="AT28" s="207" t="s">
        <v>363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ht="13.8" x14ac:dyDescent="0.25">
      <c r="A29" s="223" t="s">
        <v>392</v>
      </c>
      <c r="B29" s="224" t="s">
        <v>145</v>
      </c>
      <c r="C29" s="224">
        <v>19</v>
      </c>
      <c r="D29" s="224" t="s">
        <v>393</v>
      </c>
      <c r="E29" s="225" t="str">
        <f t="shared" ca="1" si="8"/>
        <v>R</v>
      </c>
      <c r="F29" s="347"/>
      <c r="G29" s="348">
        <f t="shared" ca="1" si="1"/>
        <v>38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27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ht="13.8" x14ac:dyDescent="0.25">
      <c r="A30" s="223" t="s">
        <v>294</v>
      </c>
      <c r="B30" s="224" t="s">
        <v>145</v>
      </c>
      <c r="C30" s="224">
        <v>19</v>
      </c>
      <c r="D30" s="224" t="s">
        <v>295</v>
      </c>
      <c r="E30" s="225" t="str">
        <f t="shared" ca="1" si="8"/>
        <v>MR</v>
      </c>
      <c r="F30" s="347"/>
      <c r="G30" s="348">
        <f t="shared" ca="1" si="1"/>
        <v>44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397</v>
      </c>
      <c r="AR30" s="207" t="s">
        <v>146</v>
      </c>
      <c r="AS30" s="207">
        <v>18</v>
      </c>
      <c r="AT30" s="207" t="s">
        <v>398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ht="13.8" x14ac:dyDescent="0.25">
      <c r="A31" s="223" t="s">
        <v>357</v>
      </c>
      <c r="B31" s="224" t="s">
        <v>145</v>
      </c>
      <c r="C31" s="224">
        <v>19</v>
      </c>
      <c r="D31" s="224" t="s">
        <v>358</v>
      </c>
      <c r="E31" s="225" t="str">
        <f t="shared" ca="1" si="8"/>
        <v>MR</v>
      </c>
      <c r="F31" s="347"/>
      <c r="G31" s="348">
        <f t="shared" ca="1" si="1"/>
        <v>45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ht="13.8" x14ac:dyDescent="0.25">
      <c r="A32" s="223" t="s">
        <v>296</v>
      </c>
      <c r="B32" s="224" t="s">
        <v>145</v>
      </c>
      <c r="C32" s="224">
        <v>19</v>
      </c>
      <c r="D32" s="224" t="s">
        <v>297</v>
      </c>
      <c r="E32" s="225" t="str">
        <f t="shared" ca="1" si="8"/>
        <v>MR</v>
      </c>
      <c r="F32" s="347"/>
      <c r="G32" s="348">
        <f t="shared" ca="1" si="1"/>
        <v>46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ht="13.8" x14ac:dyDescent="0.25">
      <c r="A33" s="223" t="s">
        <v>379</v>
      </c>
      <c r="B33" s="224" t="s">
        <v>145</v>
      </c>
      <c r="C33" s="224">
        <v>19</v>
      </c>
      <c r="D33" s="224" t="s">
        <v>385</v>
      </c>
      <c r="E33" s="225" t="str">
        <f t="shared" ca="1" si="8"/>
        <v>R</v>
      </c>
      <c r="F33" s="347"/>
      <c r="G33" s="348">
        <f t="shared" ca="1" si="1"/>
        <v>48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ht="13.8" x14ac:dyDescent="0.25">
      <c r="A34" s="223" t="s">
        <v>364</v>
      </c>
      <c r="B34" s="224" t="s">
        <v>145</v>
      </c>
      <c r="C34" s="224">
        <v>19</v>
      </c>
      <c r="D34" s="224" t="s">
        <v>365</v>
      </c>
      <c r="E34" s="225" t="str">
        <f t="shared" ca="1" si="8"/>
        <v>R</v>
      </c>
      <c r="F34" s="347"/>
      <c r="G34" s="348">
        <f t="shared" ca="1" si="1"/>
        <v>53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>
        <f t="shared" ca="1" si="3"/>
        <v>1</v>
      </c>
      <c r="AH34" s="169" t="str">
        <f t="shared" ca="1" si="18"/>
        <v/>
      </c>
      <c r="AJ34" s="169">
        <f t="shared" ca="1" si="19"/>
        <v>50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4"/>
        <v>Change</v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ht="13.8" x14ac:dyDescent="0.25">
      <c r="A35" s="223" t="s">
        <v>227</v>
      </c>
      <c r="B35" s="224" t="s">
        <v>146</v>
      </c>
      <c r="C35" s="224">
        <v>18</v>
      </c>
      <c r="D35" s="224" t="s">
        <v>228</v>
      </c>
      <c r="E35" s="225" t="str">
        <f t="shared" ca="1" si="8"/>
        <v>R</v>
      </c>
      <c r="F35" s="347"/>
      <c r="G35" s="348">
        <f t="shared" ca="1" si="1"/>
        <v>10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245</v>
      </c>
      <c r="AR35" s="207" t="s">
        <v>144</v>
      </c>
      <c r="AS35" s="207">
        <v>20</v>
      </c>
      <c r="AT35" s="207" t="s">
        <v>246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ht="13.8" x14ac:dyDescent="0.25">
      <c r="A36" s="223" t="s">
        <v>243</v>
      </c>
      <c r="B36" s="224" t="s">
        <v>146</v>
      </c>
      <c r="C36" s="224">
        <v>18</v>
      </c>
      <c r="D36" s="224" t="s">
        <v>244</v>
      </c>
      <c r="E36" s="225" t="str">
        <f t="shared" ca="1" si="8"/>
        <v>R</v>
      </c>
      <c r="F36" s="347"/>
      <c r="G36" s="348">
        <f t="shared" ca="1" si="1"/>
        <v>11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278</v>
      </c>
      <c r="AR36" s="207" t="s">
        <v>147</v>
      </c>
      <c r="AS36" s="207">
        <v>17</v>
      </c>
      <c r="AT36" s="207" t="s">
        <v>279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ht="13.8" x14ac:dyDescent="0.25">
      <c r="A37" s="223" t="s">
        <v>250</v>
      </c>
      <c r="B37" s="224" t="s">
        <v>146</v>
      </c>
      <c r="C37" s="224">
        <v>18</v>
      </c>
      <c r="D37" s="224" t="s">
        <v>251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404</v>
      </c>
      <c r="AR37" s="207" t="s">
        <v>144</v>
      </c>
      <c r="AS37" s="207">
        <v>20</v>
      </c>
      <c r="AT37" s="207" t="s">
        <v>241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ht="13.8" x14ac:dyDescent="0.25">
      <c r="A38" s="223" t="s">
        <v>261</v>
      </c>
      <c r="B38" s="224" t="s">
        <v>146</v>
      </c>
      <c r="C38" s="224">
        <v>18</v>
      </c>
      <c r="D38" s="224" t="s">
        <v>262</v>
      </c>
      <c r="E38" s="225" t="str">
        <f t="shared" ca="1" si="8"/>
        <v>R</v>
      </c>
      <c r="F38" s="347"/>
      <c r="G38" s="348">
        <f t="shared" ca="1" si="1"/>
        <v>15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35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302</v>
      </c>
      <c r="AR38" s="207" t="s">
        <v>146</v>
      </c>
      <c r="AS38" s="207">
        <v>18</v>
      </c>
      <c r="AT38" s="207" t="s">
        <v>303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ht="13.8" x14ac:dyDescent="0.25">
      <c r="A39" s="223" t="s">
        <v>338</v>
      </c>
      <c r="B39" s="224" t="s">
        <v>146</v>
      </c>
      <c r="C39" s="224">
        <v>18</v>
      </c>
      <c r="D39" s="224" t="s">
        <v>341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282</v>
      </c>
      <c r="AR39" s="207" t="s">
        <v>144</v>
      </c>
      <c r="AS39" s="207">
        <v>20</v>
      </c>
      <c r="AT39" s="207" t="s">
        <v>283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8" x14ac:dyDescent="0.25">
      <c r="A40" s="223" t="s">
        <v>377</v>
      </c>
      <c r="B40" s="224" t="s">
        <v>146</v>
      </c>
      <c r="C40" s="224">
        <v>18</v>
      </c>
      <c r="D40" s="224" t="s">
        <v>378</v>
      </c>
      <c r="E40" s="225" t="str">
        <f t="shared" ca="1" si="8"/>
        <v>R</v>
      </c>
      <c r="F40" s="347"/>
      <c r="G40" s="348">
        <f t="shared" ca="1" si="1"/>
        <v>22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304</v>
      </c>
      <c r="AR40" s="207" t="s">
        <v>146</v>
      </c>
      <c r="AS40" s="207">
        <v>18</v>
      </c>
      <c r="AT40" s="207" t="s">
        <v>305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ht="13.8" x14ac:dyDescent="0.25">
      <c r="A41" s="223" t="s">
        <v>272</v>
      </c>
      <c r="B41" s="224" t="s">
        <v>146</v>
      </c>
      <c r="C41" s="224">
        <v>18</v>
      </c>
      <c r="D41" s="224" t="s">
        <v>273</v>
      </c>
      <c r="E41" s="225" t="str">
        <f t="shared" ca="1" si="8"/>
        <v>R</v>
      </c>
      <c r="F41" s="347"/>
      <c r="G41" s="348">
        <f t="shared" ca="1" si="1"/>
        <v>23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392</v>
      </c>
      <c r="AR41" s="207" t="s">
        <v>145</v>
      </c>
      <c r="AS41" s="207">
        <v>19</v>
      </c>
      <c r="AT41" s="207" t="s">
        <v>393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ht="13.8" x14ac:dyDescent="0.25">
      <c r="A42" s="223" t="s">
        <v>274</v>
      </c>
      <c r="B42" s="224" t="s">
        <v>146</v>
      </c>
      <c r="C42" s="224">
        <v>18</v>
      </c>
      <c r="D42" s="224" t="s">
        <v>275</v>
      </c>
      <c r="E42" s="225" t="str">
        <f t="shared" ca="1" si="8"/>
        <v>MR</v>
      </c>
      <c r="F42" s="347"/>
      <c r="G42" s="348">
        <f t="shared" ca="1" si="1"/>
        <v>24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306</v>
      </c>
      <c r="AR42" s="207" t="s">
        <v>146</v>
      </c>
      <c r="AS42" s="207">
        <v>18</v>
      </c>
      <c r="AT42" s="207" t="s">
        <v>307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8" x14ac:dyDescent="0.25">
      <c r="A43" s="223" t="s">
        <v>397</v>
      </c>
      <c r="B43" s="224" t="s">
        <v>146</v>
      </c>
      <c r="C43" s="224">
        <v>18</v>
      </c>
      <c r="D43" s="224" t="s">
        <v>398</v>
      </c>
      <c r="E43" s="225" t="str">
        <f t="shared" ca="1" si="8"/>
        <v>R</v>
      </c>
      <c r="F43" s="347"/>
      <c r="G43" s="348">
        <f t="shared" ca="1" si="1"/>
        <v>57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286</v>
      </c>
      <c r="AR43" s="207" t="s">
        <v>144</v>
      </c>
      <c r="AS43" s="207">
        <v>20</v>
      </c>
      <c r="AT43" s="207" t="s">
        <v>287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ht="13.8" x14ac:dyDescent="0.25">
      <c r="A44" s="223" t="s">
        <v>288</v>
      </c>
      <c r="B44" s="224" t="s">
        <v>146</v>
      </c>
      <c r="C44" s="224">
        <v>18</v>
      </c>
      <c r="D44" s="224" t="s">
        <v>289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308</v>
      </c>
      <c r="AR44" s="207" t="s">
        <v>146</v>
      </c>
      <c r="AS44" s="207">
        <v>18</v>
      </c>
      <c r="AT44" s="207" t="s">
        <v>309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8" x14ac:dyDescent="0.25">
      <c r="A45" s="223" t="s">
        <v>302</v>
      </c>
      <c r="B45" s="224" t="s">
        <v>146</v>
      </c>
      <c r="C45" s="224">
        <v>18</v>
      </c>
      <c r="D45" s="224" t="s">
        <v>303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290</v>
      </c>
      <c r="AR45" s="207" t="s">
        <v>146</v>
      </c>
      <c r="AS45" s="207">
        <v>18</v>
      </c>
      <c r="AT45" s="207" t="s">
        <v>291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304</v>
      </c>
      <c r="B46" s="224" t="s">
        <v>146</v>
      </c>
      <c r="C46" s="224">
        <v>18</v>
      </c>
      <c r="D46" s="224" t="s">
        <v>305</v>
      </c>
      <c r="E46" s="225" t="str">
        <f t="shared" ca="1" si="8"/>
        <v>R</v>
      </c>
      <c r="F46" s="347"/>
      <c r="G46" s="348">
        <f t="shared" ca="1" si="1"/>
        <v>37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248</v>
      </c>
      <c r="AR46" s="207" t="s">
        <v>146</v>
      </c>
      <c r="AS46" s="207">
        <v>18</v>
      </c>
      <c r="AT46" s="207" t="s">
        <v>249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306</v>
      </c>
      <c r="B47" s="224" t="s">
        <v>146</v>
      </c>
      <c r="C47" s="224">
        <v>18</v>
      </c>
      <c r="D47" s="224" t="s">
        <v>307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294</v>
      </c>
      <c r="AR47" s="207" t="s">
        <v>145</v>
      </c>
      <c r="AS47" s="207">
        <v>19</v>
      </c>
      <c r="AT47" s="207" t="s">
        <v>295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8" x14ac:dyDescent="0.25">
      <c r="A48" s="223" t="s">
        <v>308</v>
      </c>
      <c r="B48" s="224" t="s">
        <v>146</v>
      </c>
      <c r="C48" s="224">
        <v>18</v>
      </c>
      <c r="D48" s="224" t="s">
        <v>309</v>
      </c>
      <c r="E48" s="225" t="str">
        <f t="shared" ca="1" si="8"/>
        <v>R</v>
      </c>
      <c r="F48" s="347"/>
      <c r="G48" s="348">
        <f t="shared" ca="1" si="1"/>
        <v>41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310</v>
      </c>
      <c r="AR48" s="207" t="s">
        <v>147</v>
      </c>
      <c r="AS48" s="207">
        <v>17</v>
      </c>
      <c r="AT48" s="207" t="s">
        <v>311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ht="13.8" x14ac:dyDescent="0.25">
      <c r="A49" s="223" t="s">
        <v>290</v>
      </c>
      <c r="B49" s="224" t="s">
        <v>146</v>
      </c>
      <c r="C49" s="224">
        <v>18</v>
      </c>
      <c r="D49" s="224" t="s">
        <v>291</v>
      </c>
      <c r="E49" s="225" t="str">
        <f t="shared" ca="1" si="8"/>
        <v>R</v>
      </c>
      <c r="F49" s="347"/>
      <c r="G49" s="348">
        <f t="shared" ca="1" si="1"/>
        <v>42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357</v>
      </c>
      <c r="AR49" s="207" t="s">
        <v>145</v>
      </c>
      <c r="AS49" s="207">
        <v>19</v>
      </c>
      <c r="AT49" s="207" t="s">
        <v>358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248</v>
      </c>
      <c r="B50" s="224" t="s">
        <v>146</v>
      </c>
      <c r="C50" s="224">
        <v>18</v>
      </c>
      <c r="D50" s="224" t="s">
        <v>249</v>
      </c>
      <c r="E50" s="225" t="str">
        <f t="shared" ca="1" si="8"/>
        <v>MR</v>
      </c>
      <c r="F50" s="347"/>
      <c r="G50" s="348">
        <f t="shared" ca="1" si="1"/>
        <v>43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48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296</v>
      </c>
      <c r="AR50" s="207" t="s">
        <v>145</v>
      </c>
      <c r="AS50" s="207">
        <v>19</v>
      </c>
      <c r="AT50" s="207" t="s">
        <v>297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ht="13.8" x14ac:dyDescent="0.25">
      <c r="A51" s="223" t="s">
        <v>399</v>
      </c>
      <c r="B51" s="224" t="s">
        <v>146</v>
      </c>
      <c r="C51" s="224">
        <v>18</v>
      </c>
      <c r="D51" s="224" t="s">
        <v>400</v>
      </c>
      <c r="E51" s="225" t="str">
        <f t="shared" ca="1" si="8"/>
        <v>R</v>
      </c>
      <c r="F51" s="347"/>
      <c r="G51" s="348">
        <f t="shared" ca="1" si="1"/>
        <v>49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49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298</v>
      </c>
      <c r="AR51" s="207" t="s">
        <v>171</v>
      </c>
      <c r="AS51" s="207">
        <v>21</v>
      </c>
      <c r="AT51" s="207" t="s">
        <v>299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ht="13.8" x14ac:dyDescent="0.2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379</v>
      </c>
      <c r="AR52" s="207" t="s">
        <v>145</v>
      </c>
      <c r="AS52" s="207">
        <v>19</v>
      </c>
      <c r="AT52" s="207" t="s">
        <v>385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399</v>
      </c>
      <c r="AR53" s="207" t="s">
        <v>146</v>
      </c>
      <c r="AS53" s="207">
        <v>18</v>
      </c>
      <c r="AT53" s="207" t="s">
        <v>400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8"/>
        <v>MR</v>
      </c>
      <c r="F54" s="347"/>
      <c r="G54" s="348">
        <f t="shared" ca="1" si="1"/>
        <v>33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355</v>
      </c>
      <c r="AR54" s="207" t="s">
        <v>144</v>
      </c>
      <c r="AS54" s="207">
        <v>20</v>
      </c>
      <c r="AT54" s="207" t="s">
        <v>356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8" x14ac:dyDescent="0.2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364</v>
      </c>
      <c r="AR55" s="207" t="s">
        <v>145</v>
      </c>
      <c r="AS55" s="207">
        <v>19</v>
      </c>
      <c r="AT55" s="207" t="s">
        <v>365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252</v>
      </c>
      <c r="AR56" s="207" t="s">
        <v>144</v>
      </c>
      <c r="AS56" s="207">
        <v>20</v>
      </c>
      <c r="AT56" s="207" t="s">
        <v>253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256</v>
      </c>
      <c r="AR57" s="207" t="s">
        <v>144</v>
      </c>
      <c r="AS57" s="207">
        <v>20</v>
      </c>
      <c r="AT57" s="207" t="s">
        <v>257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394</v>
      </c>
      <c r="B61" s="227" t="s">
        <v>167</v>
      </c>
      <c r="C61" s="227">
        <v>23</v>
      </c>
      <c r="D61" s="227" t="s">
        <v>314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62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409</v>
      </c>
      <c r="B62" s="224" t="s">
        <v>146</v>
      </c>
      <c r="C62" s="224">
        <v>18</v>
      </c>
      <c r="D62" s="224" t="s">
        <v>410</v>
      </c>
      <c r="E62" s="225" t="str">
        <f t="shared" ca="1" si="8"/>
        <v>R</v>
      </c>
      <c r="F62" s="347"/>
      <c r="G62" s="348">
        <f t="shared" ca="1" si="1"/>
        <v>51</v>
      </c>
      <c r="H62" s="349"/>
      <c r="I62" s="349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63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 t="s">
        <v>411</v>
      </c>
      <c r="B63" s="224"/>
      <c r="C63" s="224"/>
      <c r="D63" s="224" t="s">
        <v>386</v>
      </c>
      <c r="E63" s="225" t="str">
        <f t="shared" ca="1" si="8"/>
        <v>R</v>
      </c>
      <c r="F63" s="347"/>
      <c r="G63" s="348">
        <f t="shared" ca="1" si="1"/>
        <v>50</v>
      </c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64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 t="s">
        <v>381</v>
      </c>
      <c r="B64" s="224"/>
      <c r="C64" s="224"/>
      <c r="D64" s="224" t="s">
        <v>369</v>
      </c>
      <c r="E64" s="225" t="str">
        <f t="shared" ca="1" si="8"/>
        <v>D</v>
      </c>
      <c r="F64" s="347"/>
      <c r="G64" s="348">
        <f t="shared" ca="1" si="1"/>
        <v>59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58</v>
      </c>
      <c r="AK64" s="169" t="str">
        <f t="shared" ca="1" si="20"/>
        <v>CCC-</v>
      </c>
      <c r="AL64" s="169">
        <f t="shared" ca="1" si="20"/>
        <v>8</v>
      </c>
      <c r="AM64" s="169" t="str">
        <f t="shared" ca="1" si="4"/>
        <v>Change</v>
      </c>
      <c r="AQ64" s="207" t="s">
        <v>394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412</v>
      </c>
      <c r="AR65" s="207" t="s">
        <v>146</v>
      </c>
      <c r="AS65" s="207">
        <v>18</v>
      </c>
      <c r="AT65" s="207" t="s">
        <v>410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411</v>
      </c>
      <c r="AR66" s="207"/>
      <c r="AS66" s="207"/>
      <c r="AT66" s="207" t="s">
        <v>386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381</v>
      </c>
      <c r="AR67" s="207"/>
      <c r="AS67" s="207"/>
      <c r="AT67" s="207" t="s">
        <v>369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413</v>
      </c>
      <c r="D74" s="204"/>
      <c r="F74" s="206"/>
      <c r="H74" s="206"/>
      <c r="I74" s="206"/>
    </row>
    <row r="75" spans="1:58" x14ac:dyDescent="0.2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 t="s">
        <v>321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18.69811320754717</v>
      </c>
      <c r="E78" s="191"/>
      <c r="G78" s="352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-- 2014 Q1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Reg_Percent_2012</v>
      </c>
      <c r="G2" s="172" t="s">
        <v>415</v>
      </c>
      <c r="AJ2" s="173" t="str">
        <f>AJ4 &amp; AJ3</f>
        <v>'Credit_2013Q4'!a:a</v>
      </c>
      <c r="AK2" s="173" t="str">
        <f>AK4 &amp; AK3</f>
        <v>'Credit_2013Q4'!b1</v>
      </c>
      <c r="AL2" s="173" t="str">
        <f>AL4 &amp; AL3</f>
        <v>'Credit_2013Q4'!c1</v>
      </c>
      <c r="AQ2" s="169"/>
    </row>
    <row r="3" spans="1:61" ht="18" hidden="1" outlineLevel="1" x14ac:dyDescent="0.2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'Credit_2013Q4'!</v>
      </c>
      <c r="AK4" s="169" t="str">
        <f t="shared" ref="AK4:AL4" si="0">$AQ$5</f>
        <v>'Credit_2013Q4'!</v>
      </c>
      <c r="AL4" s="169" t="str">
        <f t="shared" si="0"/>
        <v>'Credit_2013Q4'!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417</v>
      </c>
    </row>
    <row r="6" spans="1:61" ht="28.5" customHeight="1" x14ac:dyDescent="0.25">
      <c r="A6" s="219" t="s">
        <v>217</v>
      </c>
      <c r="B6" s="220" t="s">
        <v>56</v>
      </c>
      <c r="C6" s="249" t="s">
        <v>219</v>
      </c>
      <c r="D6" s="221"/>
      <c r="E6" s="222">
        <v>41274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8" ca="1" si="1">OFFSET( INDIRECT( E$3 &amp; E$4 ), $G7 - 1, 0 )</f>
        <v>R</v>
      </c>
      <c r="F7" s="347"/>
      <c r="G7" s="348">
        <f t="shared" ref="G7:G64" ca="1" si="2">IF( LEN( $D7 ) = 0, "", MATCH( $D7, INDIRECT( G$3 &amp; G$4 ), 0 ) )</f>
        <v>48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1"/>
        <v>R</v>
      </c>
      <c r="F8" s="347"/>
      <c r="G8" s="348">
        <f t="shared" ca="1" si="2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1"/>
        <v>MR</v>
      </c>
      <c r="F9" s="347"/>
      <c r="G9" s="348">
        <f t="shared" ca="1" si="2"/>
        <v>13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1"/>
        <v>R</v>
      </c>
      <c r="F10" s="347"/>
      <c r="G10" s="348">
        <f t="shared" ca="1" si="2"/>
        <v>16</v>
      </c>
      <c r="H10" s="349"/>
      <c r="I10" s="234"/>
      <c r="J10" s="215" t="s">
        <v>145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1"/>
        <v>MR</v>
      </c>
      <c r="F11" s="347"/>
      <c r="G11" s="348">
        <f t="shared" ca="1" si="2"/>
        <v>17</v>
      </c>
      <c r="H11" s="349"/>
      <c r="I11" s="234"/>
      <c r="J11" s="215" t="s">
        <v>146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8" x14ac:dyDescent="0.25">
      <c r="A12" s="223" t="s">
        <v>405</v>
      </c>
      <c r="B12" s="224" t="s">
        <v>144</v>
      </c>
      <c r="C12" s="224">
        <v>20</v>
      </c>
      <c r="D12" s="224" t="s">
        <v>406</v>
      </c>
      <c r="E12" s="225" t="str">
        <f t="shared" ca="1" si="1"/>
        <v>R</v>
      </c>
      <c r="F12" s="347"/>
      <c r="G12" s="348">
        <f t="shared" ca="1" si="2"/>
        <v>29</v>
      </c>
      <c r="H12" s="349"/>
      <c r="I12" s="234"/>
      <c r="J12" s="215" t="s">
        <v>147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250</v>
      </c>
      <c r="AR12" s="207" t="s">
        <v>146</v>
      </c>
      <c r="AS12" s="207">
        <v>18</v>
      </c>
      <c r="AT12" s="207" t="s">
        <v>251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1"/>
        <v>MR</v>
      </c>
      <c r="F13" s="347"/>
      <c r="G13" s="348">
        <f t="shared" ca="1" si="2"/>
        <v>32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254</v>
      </c>
      <c r="AR13" s="207" t="s">
        <v>144</v>
      </c>
      <c r="AS13" s="207">
        <v>20</v>
      </c>
      <c r="AT13" s="207" t="s">
        <v>255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8" x14ac:dyDescent="0.25">
      <c r="A14" s="223" t="s">
        <v>404</v>
      </c>
      <c r="B14" s="224" t="s">
        <v>144</v>
      </c>
      <c r="C14" s="224">
        <v>20</v>
      </c>
      <c r="D14" s="224" t="s">
        <v>241</v>
      </c>
      <c r="E14" s="225" t="str">
        <f t="shared" ca="1" si="1"/>
        <v>R</v>
      </c>
      <c r="F14" s="347"/>
      <c r="G14" s="348">
        <f t="shared" ca="1" si="2"/>
        <v>34</v>
      </c>
      <c r="H14" s="349"/>
      <c r="I14" s="236"/>
      <c r="J14" s="211" t="s">
        <v>149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259</v>
      </c>
      <c r="AR14" s="207" t="s">
        <v>145</v>
      </c>
      <c r="AS14" s="207">
        <v>19</v>
      </c>
      <c r="AT14" s="207" t="s">
        <v>388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1"/>
        <v>MR</v>
      </c>
      <c r="F15" s="347"/>
      <c r="G15" s="348">
        <f t="shared" ca="1" si="2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261</v>
      </c>
      <c r="AR15" s="207" t="s">
        <v>146</v>
      </c>
      <c r="AS15" s="207">
        <v>18</v>
      </c>
      <c r="AT15" s="207" t="s">
        <v>262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1"/>
        <v>R</v>
      </c>
      <c r="F16" s="347"/>
      <c r="G16" s="348">
        <f t="shared" ca="1" si="2"/>
        <v>41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18.444444444444443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18.457142857142856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13.5</v>
      </c>
      <c r="V16" s="371"/>
      <c r="W16" s="232"/>
      <c r="AE16" s="184"/>
      <c r="AF16" s="169">
        <f t="shared" si="3"/>
        <v>0</v>
      </c>
      <c r="AG16" s="169" t="str">
        <f t="shared" ca="1" si="4"/>
        <v/>
      </c>
      <c r="AH16" s="169" t="str">
        <f t="shared" ca="1" si="19"/>
        <v/>
      </c>
      <c r="AJ16" s="169">
        <f t="shared" ca="1" si="5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6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ht="13.8" x14ac:dyDescent="0.25">
      <c r="A17" s="223" t="s">
        <v>355</v>
      </c>
      <c r="B17" s="224" t="s">
        <v>144</v>
      </c>
      <c r="C17" s="224">
        <v>20</v>
      </c>
      <c r="D17" s="224" t="s">
        <v>356</v>
      </c>
      <c r="E17" s="225" t="str">
        <f t="shared" ca="1" si="1"/>
        <v>MR</v>
      </c>
      <c r="F17" s="347"/>
      <c r="G17" s="348">
        <f t="shared" ca="1" si="2"/>
        <v>53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371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1"/>
        <v>R</v>
      </c>
      <c r="F18" s="347"/>
      <c r="G18" s="348">
        <f t="shared" ca="1" si="2"/>
        <v>55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1"/>
        <v>R</v>
      </c>
      <c r="F19" s="347"/>
      <c r="G19" s="348">
        <f t="shared" ca="1" si="2"/>
        <v>56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1"/>
        <v>R</v>
      </c>
      <c r="F20" s="347"/>
      <c r="G20" s="348">
        <f t="shared" ca="1" si="2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1"/>
        <v>R</v>
      </c>
      <c r="F21" s="347"/>
      <c r="G21" s="348">
        <f t="shared" ca="1" si="2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 t="str">
        <f t="shared" ca="1" si="4"/>
        <v/>
      </c>
      <c r="AH21" s="169" t="str">
        <f t="shared" ca="1" si="19"/>
        <v/>
      </c>
      <c r="AJ21" s="169">
        <f t="shared" ca="1" si="5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6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ht="13.8" x14ac:dyDescent="0.25">
      <c r="A22" s="223" t="s">
        <v>259</v>
      </c>
      <c r="B22" s="224" t="s">
        <v>145</v>
      </c>
      <c r="C22" s="224">
        <v>19</v>
      </c>
      <c r="D22" s="224" t="s">
        <v>388</v>
      </c>
      <c r="E22" s="225" t="str">
        <f t="shared" ca="1" si="1"/>
        <v>R</v>
      </c>
      <c r="F22" s="347"/>
      <c r="G22" s="348">
        <f t="shared" ca="1" si="2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338</v>
      </c>
      <c r="AR22" s="207" t="s">
        <v>146</v>
      </c>
      <c r="AS22" s="207">
        <v>18</v>
      </c>
      <c r="AT22" s="207" t="s">
        <v>341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ht="13.8" x14ac:dyDescent="0.2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1"/>
        <v>R</v>
      </c>
      <c r="F23" s="347"/>
      <c r="G23" s="348">
        <f t="shared" ca="1" si="2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377</v>
      </c>
      <c r="AR23" s="207" t="s">
        <v>146</v>
      </c>
      <c r="AS23" s="207">
        <v>18</v>
      </c>
      <c r="AT23" s="207" t="s">
        <v>378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ht="13.8" x14ac:dyDescent="0.2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1"/>
        <v>R</v>
      </c>
      <c r="F24" s="347"/>
      <c r="G24" s="348">
        <f t="shared" ca="1" si="2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381</v>
      </c>
      <c r="AR24" s="207" t="s">
        <v>194</v>
      </c>
      <c r="AS24" s="207">
        <v>8</v>
      </c>
      <c r="AT24" s="207" t="s">
        <v>369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ht="13.8" x14ac:dyDescent="0.25">
      <c r="A25" s="223" t="s">
        <v>276</v>
      </c>
      <c r="B25" s="224" t="s">
        <v>145</v>
      </c>
      <c r="C25" s="224">
        <v>19</v>
      </c>
      <c r="D25" s="224" t="s">
        <v>277</v>
      </c>
      <c r="E25" s="225" t="str">
        <f t="shared" ca="1" si="1"/>
        <v>D</v>
      </c>
      <c r="F25" s="347"/>
      <c r="G25" s="348">
        <f t="shared" ca="1" si="2"/>
        <v>30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ht="13.8" x14ac:dyDescent="0.25">
      <c r="A26" s="223" t="s">
        <v>418</v>
      </c>
      <c r="B26" s="224" t="s">
        <v>145</v>
      </c>
      <c r="C26" s="224">
        <v>19</v>
      </c>
      <c r="D26" s="224" t="s">
        <v>221</v>
      </c>
      <c r="E26" s="225" t="str">
        <f t="shared" ca="1" si="1"/>
        <v>MR</v>
      </c>
      <c r="F26" s="347"/>
      <c r="G26" s="348">
        <f t="shared" ca="1" si="2"/>
        <v>62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ht="13.8" x14ac:dyDescent="0.25">
      <c r="A27" s="223" t="s">
        <v>392</v>
      </c>
      <c r="B27" s="224" t="s">
        <v>145</v>
      </c>
      <c r="C27" s="224">
        <v>19</v>
      </c>
      <c r="D27" s="224" t="s">
        <v>393</v>
      </c>
      <c r="E27" s="225" t="str">
        <f t="shared" ca="1" si="1"/>
        <v>MR</v>
      </c>
      <c r="F27" s="347"/>
      <c r="G27" s="348">
        <f t="shared" ca="1" si="2"/>
        <v>39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ht="13.8" x14ac:dyDescent="0.25">
      <c r="A28" s="223" t="s">
        <v>294</v>
      </c>
      <c r="B28" s="224" t="s">
        <v>145</v>
      </c>
      <c r="C28" s="224">
        <v>19</v>
      </c>
      <c r="D28" s="224" t="s">
        <v>295</v>
      </c>
      <c r="E28" s="225" t="str">
        <f t="shared" ca="1" si="1"/>
        <v>MR</v>
      </c>
      <c r="F28" s="347"/>
      <c r="G28" s="348">
        <f t="shared" ca="1" si="2"/>
        <v>45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362</v>
      </c>
      <c r="AR28" s="207" t="s">
        <v>146</v>
      </c>
      <c r="AS28" s="207">
        <v>18</v>
      </c>
      <c r="AT28" s="207" t="s">
        <v>363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ht="13.8" x14ac:dyDescent="0.25">
      <c r="A29" s="223" t="s">
        <v>357</v>
      </c>
      <c r="B29" s="224" t="s">
        <v>145</v>
      </c>
      <c r="C29" s="224">
        <v>19</v>
      </c>
      <c r="D29" s="224" t="s">
        <v>358</v>
      </c>
      <c r="E29" s="225" t="str">
        <f t="shared" ca="1" si="1"/>
        <v>MR</v>
      </c>
      <c r="F29" s="347"/>
      <c r="G29" s="348">
        <f t="shared" ca="1" si="2"/>
        <v>46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ht="13.8" x14ac:dyDescent="0.25">
      <c r="A30" s="223" t="s">
        <v>296</v>
      </c>
      <c r="B30" s="224" t="s">
        <v>145</v>
      </c>
      <c r="C30" s="224">
        <v>19</v>
      </c>
      <c r="D30" s="224" t="s">
        <v>297</v>
      </c>
      <c r="E30" s="225" t="str">
        <f t="shared" ca="1" si="1"/>
        <v>MR</v>
      </c>
      <c r="F30" s="347"/>
      <c r="G30" s="348">
        <f t="shared" ca="1" si="2"/>
        <v>47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397</v>
      </c>
      <c r="AR30" s="207" t="s">
        <v>146</v>
      </c>
      <c r="AS30" s="207">
        <v>18</v>
      </c>
      <c r="AT30" s="207" t="s">
        <v>398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ht="13.8" x14ac:dyDescent="0.25">
      <c r="A31" s="223" t="s">
        <v>379</v>
      </c>
      <c r="B31" s="224" t="s">
        <v>145</v>
      </c>
      <c r="C31" s="224">
        <v>19</v>
      </c>
      <c r="D31" s="224" t="s">
        <v>385</v>
      </c>
      <c r="E31" s="225" t="str">
        <f t="shared" ca="1" si="1"/>
        <v>R</v>
      </c>
      <c r="F31" s="347"/>
      <c r="G31" s="348">
        <f t="shared" ca="1" si="2"/>
        <v>49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ht="13.8" x14ac:dyDescent="0.25">
      <c r="A32" s="223" t="s">
        <v>227</v>
      </c>
      <c r="B32" s="224" t="s">
        <v>146</v>
      </c>
      <c r="C32" s="224">
        <v>18</v>
      </c>
      <c r="D32" s="224" t="s">
        <v>228</v>
      </c>
      <c r="E32" s="225" t="str">
        <f t="shared" ca="1" si="1"/>
        <v>R</v>
      </c>
      <c r="F32" s="347"/>
      <c r="G32" s="348">
        <f t="shared" ca="1" si="2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ht="13.8" x14ac:dyDescent="0.25">
      <c r="A33" s="223" t="s">
        <v>243</v>
      </c>
      <c r="B33" s="224" t="s">
        <v>146</v>
      </c>
      <c r="C33" s="224">
        <v>18</v>
      </c>
      <c r="D33" s="224" t="s">
        <v>244</v>
      </c>
      <c r="E33" s="225" t="str">
        <f t="shared" ca="1" si="1"/>
        <v>R</v>
      </c>
      <c r="F33" s="347"/>
      <c r="G33" s="348">
        <f t="shared" ca="1" si="2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ht="13.8" x14ac:dyDescent="0.25">
      <c r="A34" s="223" t="s">
        <v>250</v>
      </c>
      <c r="B34" s="224" t="s">
        <v>146</v>
      </c>
      <c r="C34" s="224">
        <v>18</v>
      </c>
      <c r="D34" s="224" t="s">
        <v>251</v>
      </c>
      <c r="E34" s="225" t="str">
        <f t="shared" ca="1" si="1"/>
        <v>R</v>
      </c>
      <c r="F34" s="347"/>
      <c r="G34" s="348">
        <f t="shared" ca="1" si="2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ht="13.8" x14ac:dyDescent="0.25">
      <c r="A35" s="223" t="s">
        <v>261</v>
      </c>
      <c r="B35" s="224" t="s">
        <v>146</v>
      </c>
      <c r="C35" s="224">
        <v>18</v>
      </c>
      <c r="D35" s="224" t="s">
        <v>262</v>
      </c>
      <c r="E35" s="225" t="str">
        <f t="shared" ca="1" si="1"/>
        <v>R</v>
      </c>
      <c r="F35" s="347"/>
      <c r="G35" s="348">
        <f t="shared" ca="1" si="2"/>
        <v>15</v>
      </c>
      <c r="H35" s="349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418</v>
      </c>
      <c r="AR35" s="207" t="s">
        <v>145</v>
      </c>
      <c r="AS35" s="207">
        <v>19</v>
      </c>
      <c r="AT35" s="207" t="s">
        <v>221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ht="13.8" x14ac:dyDescent="0.25">
      <c r="A36" s="223" t="s">
        <v>338</v>
      </c>
      <c r="B36" s="224" t="s">
        <v>146</v>
      </c>
      <c r="C36" s="224">
        <v>18</v>
      </c>
      <c r="D36" s="224" t="s">
        <v>341</v>
      </c>
      <c r="E36" s="225" t="str">
        <f t="shared" ca="1" si="1"/>
        <v>R</v>
      </c>
      <c r="F36" s="347"/>
      <c r="G36" s="348">
        <f t="shared" ca="1" si="2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ht="13.8" x14ac:dyDescent="0.25">
      <c r="A37" s="223" t="s">
        <v>377</v>
      </c>
      <c r="B37" s="224" t="s">
        <v>146</v>
      </c>
      <c r="C37" s="224">
        <v>18</v>
      </c>
      <c r="D37" s="224" t="s">
        <v>378</v>
      </c>
      <c r="E37" s="225" t="str">
        <f t="shared" ca="1" si="1"/>
        <v>R</v>
      </c>
      <c r="F37" s="347"/>
      <c r="G37" s="348">
        <f t="shared" ca="1" si="2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ht="13.8" x14ac:dyDescent="0.25">
      <c r="A38" s="223" t="s">
        <v>272</v>
      </c>
      <c r="B38" s="224" t="s">
        <v>146</v>
      </c>
      <c r="C38" s="224">
        <v>18</v>
      </c>
      <c r="D38" s="224" t="s">
        <v>273</v>
      </c>
      <c r="E38" s="225" t="str">
        <f t="shared" ca="1" si="1"/>
        <v>R</v>
      </c>
      <c r="F38" s="347"/>
      <c r="G38" s="348">
        <f t="shared" ca="1" si="2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404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ht="13.8" x14ac:dyDescent="0.25">
      <c r="A39" s="223" t="s">
        <v>274</v>
      </c>
      <c r="B39" s="224" t="s">
        <v>146</v>
      </c>
      <c r="C39" s="224">
        <v>18</v>
      </c>
      <c r="D39" s="224" t="s">
        <v>275</v>
      </c>
      <c r="E39" s="225" t="str">
        <f t="shared" ca="1" si="1"/>
        <v>MR</v>
      </c>
      <c r="F39" s="347"/>
      <c r="G39" s="348">
        <f t="shared" ca="1" si="2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ht="13.8" x14ac:dyDescent="0.25">
      <c r="A40" s="223" t="s">
        <v>362</v>
      </c>
      <c r="B40" s="224" t="s">
        <v>146</v>
      </c>
      <c r="C40" s="224">
        <v>18</v>
      </c>
      <c r="D40" s="224" t="s">
        <v>363</v>
      </c>
      <c r="E40" s="225" t="str">
        <f t="shared" ca="1" si="1"/>
        <v>R</v>
      </c>
      <c r="F40" s="347"/>
      <c r="G40" s="348">
        <f t="shared" ca="1" si="2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282</v>
      </c>
      <c r="AR40" s="207" t="s">
        <v>144</v>
      </c>
      <c r="AS40" s="207">
        <v>20</v>
      </c>
      <c r="AT40" s="207" t="s">
        <v>283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ht="13.8" x14ac:dyDescent="0.25">
      <c r="A41" s="223" t="s">
        <v>397</v>
      </c>
      <c r="B41" s="224" t="s">
        <v>146</v>
      </c>
      <c r="C41" s="224">
        <v>18</v>
      </c>
      <c r="D41" s="224" t="s">
        <v>398</v>
      </c>
      <c r="E41" s="225" t="str">
        <f t="shared" ca="1" si="1"/>
        <v>R</v>
      </c>
      <c r="F41" s="347"/>
      <c r="G41" s="348">
        <f t="shared" ca="1" si="2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304</v>
      </c>
      <c r="AR41" s="207" t="s">
        <v>146</v>
      </c>
      <c r="AS41" s="207">
        <v>18</v>
      </c>
      <c r="AT41" s="207" t="s">
        <v>305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ht="13.8" x14ac:dyDescent="0.2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1"/>
        <v>R</v>
      </c>
      <c r="F42" s="347"/>
      <c r="G42" s="348">
        <f t="shared" ca="1" si="2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392</v>
      </c>
      <c r="AR42" s="207" t="s">
        <v>145</v>
      </c>
      <c r="AS42" s="207">
        <v>19</v>
      </c>
      <c r="AT42" s="207" t="s">
        <v>393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1"/>
        <v>R</v>
      </c>
      <c r="F43" s="347"/>
      <c r="G43" s="348">
        <f t="shared" ca="1" si="2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306</v>
      </c>
      <c r="AR43" s="207" t="s">
        <v>146</v>
      </c>
      <c r="AS43" s="207">
        <v>18</v>
      </c>
      <c r="AT43" s="207" t="s">
        <v>307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8" x14ac:dyDescent="0.2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1"/>
        <v>MR</v>
      </c>
      <c r="F44" s="347"/>
      <c r="G44" s="348">
        <f t="shared" ca="1" si="2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286</v>
      </c>
      <c r="AR44" s="207" t="s">
        <v>144</v>
      </c>
      <c r="AS44" s="207">
        <v>20</v>
      </c>
      <c r="AT44" s="207" t="s">
        <v>287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8" x14ac:dyDescent="0.25">
      <c r="A45" s="223" t="s">
        <v>306</v>
      </c>
      <c r="B45" s="224" t="s">
        <v>146</v>
      </c>
      <c r="C45" s="224">
        <v>18</v>
      </c>
      <c r="D45" s="224" t="s">
        <v>307</v>
      </c>
      <c r="E45" s="225" t="str">
        <f t="shared" ca="1" si="1"/>
        <v>R</v>
      </c>
      <c r="F45" s="347"/>
      <c r="G45" s="348">
        <f t="shared" ca="1" si="2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308</v>
      </c>
      <c r="AR45" s="207" t="s">
        <v>146</v>
      </c>
      <c r="AS45" s="207">
        <v>18</v>
      </c>
      <c r="AT45" s="207" t="s">
        <v>309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8" x14ac:dyDescent="0.25">
      <c r="A46" s="223" t="s">
        <v>308</v>
      </c>
      <c r="B46" s="224" t="s">
        <v>146</v>
      </c>
      <c r="C46" s="224">
        <v>18</v>
      </c>
      <c r="D46" s="224" t="s">
        <v>309</v>
      </c>
      <c r="E46" s="225" t="str">
        <f t="shared" ca="1" si="1"/>
        <v>R</v>
      </c>
      <c r="F46" s="347"/>
      <c r="G46" s="348">
        <f t="shared" ca="1" si="2"/>
        <v>42</v>
      </c>
      <c r="H46" s="349"/>
      <c r="I46" s="191"/>
      <c r="K46" s="191"/>
      <c r="N46" s="350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290</v>
      </c>
      <c r="AR46" s="207" t="s">
        <v>146</v>
      </c>
      <c r="AS46" s="207">
        <v>18</v>
      </c>
      <c r="AT46" s="207" t="s">
        <v>291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ht="13.8" x14ac:dyDescent="0.2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1"/>
        <v>R</v>
      </c>
      <c r="F47" s="347"/>
      <c r="G47" s="348">
        <f t="shared" ca="1" si="2"/>
        <v>43</v>
      </c>
      <c r="H47" s="349"/>
      <c r="I47" s="349"/>
      <c r="J47" s="187" t="s">
        <v>383</v>
      </c>
      <c r="K47" s="191"/>
      <c r="M47" s="350"/>
      <c r="N47" s="350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248</v>
      </c>
      <c r="AR47" s="207" t="s">
        <v>146</v>
      </c>
      <c r="AS47" s="207">
        <v>18</v>
      </c>
      <c r="AT47" s="207" t="s">
        <v>249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8" x14ac:dyDescent="0.25">
      <c r="A48" s="223" t="s">
        <v>248</v>
      </c>
      <c r="B48" s="224" t="s">
        <v>146</v>
      </c>
      <c r="C48" s="224">
        <v>18</v>
      </c>
      <c r="D48" s="224" t="s">
        <v>249</v>
      </c>
      <c r="E48" s="225" t="str">
        <f t="shared" ca="1" si="1"/>
        <v>MR</v>
      </c>
      <c r="F48" s="347"/>
      <c r="G48" s="348">
        <f t="shared" ca="1" si="2"/>
        <v>44</v>
      </c>
      <c r="H48" s="349"/>
      <c r="I48" s="349"/>
      <c r="K48" s="191"/>
      <c r="M48" s="350"/>
      <c r="N48" s="350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294</v>
      </c>
      <c r="AR48" s="207" t="s">
        <v>145</v>
      </c>
      <c r="AS48" s="207">
        <v>19</v>
      </c>
      <c r="AT48" s="207" t="s">
        <v>295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ht="13.8" x14ac:dyDescent="0.25">
      <c r="A49" s="223" t="s">
        <v>399</v>
      </c>
      <c r="B49" s="224" t="s">
        <v>146</v>
      </c>
      <c r="C49" s="224">
        <v>18</v>
      </c>
      <c r="D49" s="224" t="s">
        <v>400</v>
      </c>
      <c r="E49" s="225" t="str">
        <f t="shared" ca="1" si="1"/>
        <v>R</v>
      </c>
      <c r="F49" s="347"/>
      <c r="G49" s="348">
        <f t="shared" ca="1" si="2"/>
        <v>50</v>
      </c>
      <c r="H49" s="349"/>
      <c r="I49" s="349"/>
      <c r="J49" s="191"/>
      <c r="K49" s="191"/>
      <c r="M49" s="350"/>
      <c r="N49" s="350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310</v>
      </c>
      <c r="AR49" s="207" t="s">
        <v>147</v>
      </c>
      <c r="AS49" s="207">
        <v>17</v>
      </c>
      <c r="AT49" s="207" t="s">
        <v>311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ht="13.8" x14ac:dyDescent="0.25">
      <c r="A50" s="223" t="s">
        <v>364</v>
      </c>
      <c r="B50" s="224" t="s">
        <v>146</v>
      </c>
      <c r="C50" s="224">
        <v>18</v>
      </c>
      <c r="D50" s="224" t="s">
        <v>365</v>
      </c>
      <c r="E50" s="225" t="str">
        <f t="shared" ca="1" si="1"/>
        <v>R</v>
      </c>
      <c r="F50" s="347"/>
      <c r="G50" s="348">
        <f t="shared" ca="1" si="2"/>
        <v>54</v>
      </c>
      <c r="H50" s="349"/>
      <c r="I50" s="349"/>
      <c r="J50" s="191"/>
      <c r="K50" s="191"/>
      <c r="M50" s="350"/>
      <c r="N50" s="350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357</v>
      </c>
      <c r="AR50" s="207" t="s">
        <v>145</v>
      </c>
      <c r="AS50" s="207">
        <v>19</v>
      </c>
      <c r="AT50" s="207" t="s">
        <v>358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ht="13.8" x14ac:dyDescent="0.2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1"/>
        <v>R</v>
      </c>
      <c r="F51" s="347"/>
      <c r="G51" s="348">
        <f t="shared" ca="1" si="2"/>
        <v>20</v>
      </c>
      <c r="H51" s="349"/>
      <c r="I51" s="349"/>
      <c r="J51" s="191"/>
      <c r="K51" s="191"/>
      <c r="M51" s="350"/>
      <c r="N51" s="350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296</v>
      </c>
      <c r="AR51" s="207" t="s">
        <v>145</v>
      </c>
      <c r="AS51" s="207">
        <v>19</v>
      </c>
      <c r="AT51" s="207" t="s">
        <v>297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ht="13.8" x14ac:dyDescent="0.2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1"/>
        <v>MR</v>
      </c>
      <c r="F52" s="347"/>
      <c r="G52" s="348">
        <f t="shared" ca="1" si="2"/>
        <v>25</v>
      </c>
      <c r="H52" s="349"/>
      <c r="I52" s="349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298</v>
      </c>
      <c r="AR52" s="207" t="s">
        <v>171</v>
      </c>
      <c r="AS52" s="207">
        <v>21</v>
      </c>
      <c r="AT52" s="207" t="s">
        <v>299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1"/>
        <v>MR</v>
      </c>
      <c r="F53" s="347"/>
      <c r="G53" s="348">
        <f t="shared" ca="1" si="2"/>
        <v>27</v>
      </c>
      <c r="H53" s="349"/>
      <c r="I53" s="349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379</v>
      </c>
      <c r="AR53" s="207" t="s">
        <v>145</v>
      </c>
      <c r="AS53" s="207">
        <v>19</v>
      </c>
      <c r="AT53" s="207" t="s">
        <v>385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1"/>
        <v>MR</v>
      </c>
      <c r="F54" s="347"/>
      <c r="G54" s="348">
        <f t="shared" ca="1" si="2"/>
        <v>33</v>
      </c>
      <c r="H54" s="349"/>
      <c r="I54" s="349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399</v>
      </c>
      <c r="AR54" s="207" t="s">
        <v>146</v>
      </c>
      <c r="AS54" s="207">
        <v>18</v>
      </c>
      <c r="AT54" s="207" t="s">
        <v>400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8" x14ac:dyDescent="0.2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1"/>
        <v>R</v>
      </c>
      <c r="F55" s="347"/>
      <c r="G55" s="348">
        <f t="shared" ca="1" si="2"/>
        <v>63</v>
      </c>
      <c r="H55" s="349"/>
      <c r="I55" s="349"/>
      <c r="J55" s="191"/>
      <c r="K55" s="191"/>
      <c r="AF55" s="169">
        <f t="shared" si="3"/>
        <v>1</v>
      </c>
      <c r="AG55" s="169" t="str">
        <f t="shared" ca="1" si="4"/>
        <v/>
      </c>
      <c r="AH55" s="169" t="str">
        <f t="shared" ca="1" si="19"/>
        <v/>
      </c>
      <c r="AJ55" s="169">
        <f t="shared" ca="1" si="5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6"/>
        <v/>
      </c>
      <c r="AQ55" s="207" t="s">
        <v>355</v>
      </c>
      <c r="AR55" s="207" t="s">
        <v>144</v>
      </c>
      <c r="AS55" s="207">
        <v>20</v>
      </c>
      <c r="AT55" s="207" t="s">
        <v>356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1"/>
        <v>R</v>
      </c>
      <c r="F56" s="347"/>
      <c r="G56" s="348">
        <f t="shared" ca="1" si="2"/>
        <v>61</v>
      </c>
      <c r="H56" s="349"/>
      <c r="I56" s="349"/>
      <c r="J56" s="191"/>
      <c r="K56" s="191"/>
      <c r="AF56" s="169">
        <f t="shared" si="3"/>
        <v>0</v>
      </c>
      <c r="AG56" s="169" t="str">
        <f t="shared" ca="1" si="4"/>
        <v/>
      </c>
      <c r="AH56" s="169" t="str">
        <f t="shared" ca="1" si="19"/>
        <v/>
      </c>
      <c r="AJ56" s="169">
        <f t="shared" ca="1" si="5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6"/>
        <v/>
      </c>
      <c r="AQ56" s="207" t="s">
        <v>364</v>
      </c>
      <c r="AR56" s="207" t="s">
        <v>146</v>
      </c>
      <c r="AS56" s="207">
        <v>18</v>
      </c>
      <c r="AT56" s="207" t="s">
        <v>365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1"/>
        <v>R</v>
      </c>
      <c r="F57" s="347"/>
      <c r="G57" s="348">
        <f t="shared" ca="1" si="2"/>
        <v>59</v>
      </c>
      <c r="H57" s="349"/>
      <c r="I57" s="349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252</v>
      </c>
      <c r="AR57" s="207" t="s">
        <v>144</v>
      </c>
      <c r="AS57" s="207">
        <v>20</v>
      </c>
      <c r="AT57" s="207" t="s">
        <v>253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 t="s">
        <v>381</v>
      </c>
      <c r="B58" s="224" t="s">
        <v>194</v>
      </c>
      <c r="C58" s="224">
        <v>8</v>
      </c>
      <c r="D58" s="224" t="s">
        <v>369</v>
      </c>
      <c r="E58" s="225" t="str">
        <f t="shared" ca="1" si="1"/>
        <v>D</v>
      </c>
      <c r="F58" s="347"/>
      <c r="G58" s="348">
        <f t="shared" ca="1" si="2"/>
        <v>60</v>
      </c>
      <c r="H58" s="349"/>
      <c r="I58" s="349"/>
      <c r="J58" s="191"/>
      <c r="K58" s="191"/>
      <c r="AF58" s="169">
        <f t="shared" si="3"/>
        <v>0</v>
      </c>
      <c r="AG58" s="169" t="str">
        <f t="shared" ca="1" si="4"/>
        <v/>
      </c>
      <c r="AH58" s="169" t="str">
        <f t="shared" ca="1" si="19"/>
        <v/>
      </c>
      <c r="AJ58" s="169">
        <f t="shared" ca="1" si="5"/>
        <v>58</v>
      </c>
      <c r="AK58" s="169" t="str">
        <f t="shared" ca="1" si="20"/>
        <v>CCC-</v>
      </c>
      <c r="AL58" s="169">
        <f t="shared" ca="1" si="20"/>
        <v>8</v>
      </c>
      <c r="AM58" s="169" t="str">
        <f t="shared" ca="1" si="6"/>
        <v/>
      </c>
      <c r="AQ58" s="207" t="s">
        <v>256</v>
      </c>
      <c r="AR58" s="207" t="s">
        <v>144</v>
      </c>
      <c r="AS58" s="207">
        <v>20</v>
      </c>
      <c r="AT58" s="207" t="s">
        <v>257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ht="13.8" x14ac:dyDescent="0.25">
      <c r="A59" s="223"/>
      <c r="B59" s="224"/>
      <c r="C59" s="224"/>
      <c r="D59" s="224"/>
      <c r="E59" s="225"/>
      <c r="F59" s="347"/>
      <c r="G59" s="348" t="str">
        <f t="shared" ca="1" si="2"/>
        <v/>
      </c>
      <c r="H59" s="349"/>
      <c r="I59" s="349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8" x14ac:dyDescent="0.25">
      <c r="A60" s="180"/>
      <c r="B60" s="181"/>
      <c r="C60" s="181"/>
      <c r="D60" s="181"/>
      <c r="E60" s="182"/>
      <c r="F60" s="349"/>
      <c r="G60" s="352" t="str">
        <f t="shared" ca="1" si="2"/>
        <v/>
      </c>
      <c r="H60" s="349"/>
      <c r="I60" s="349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.4" thickBot="1" x14ac:dyDescent="0.3">
      <c r="A61" s="192"/>
      <c r="B61" s="193"/>
      <c r="C61" s="193"/>
      <c r="D61" s="193"/>
      <c r="E61" s="194"/>
      <c r="F61" s="349"/>
      <c r="G61" s="352" t="str">
        <f t="shared" ca="1" si="2"/>
        <v/>
      </c>
      <c r="H61" s="349"/>
      <c r="I61" s="349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6" t="s">
        <v>394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2"/>
        <v>31</v>
      </c>
      <c r="H62" s="349"/>
      <c r="I62" s="349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 t="s">
        <v>409</v>
      </c>
      <c r="B63" s="224" t="s">
        <v>146</v>
      </c>
      <c r="C63" s="224">
        <v>18</v>
      </c>
      <c r="D63" s="224" t="s">
        <v>410</v>
      </c>
      <c r="E63" s="225" t="str">
        <f ca="1">OFFSET( INDIRECT( E$3 &amp; E$4 ), $G63 - 1, 0 )</f>
        <v>R</v>
      </c>
      <c r="F63" s="347"/>
      <c r="G63" s="348">
        <f t="shared" ca="1" si="2"/>
        <v>52</v>
      </c>
      <c r="H63" s="349"/>
      <c r="I63" s="349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 t="s">
        <v>411</v>
      </c>
      <c r="B64" s="224"/>
      <c r="C64" s="224"/>
      <c r="D64" s="224" t="s">
        <v>386</v>
      </c>
      <c r="E64" s="225" t="str">
        <f ca="1">OFFSET( INDIRECT( E$3 &amp; E$4 ), $G64 - 1, 0 )</f>
        <v>R</v>
      </c>
      <c r="F64" s="347"/>
      <c r="G64" s="348">
        <f t="shared" ca="1" si="2"/>
        <v>51</v>
      </c>
      <c r="H64" s="349"/>
      <c r="I64" s="349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394</v>
      </c>
      <c r="AR66" s="207" t="s">
        <v>167</v>
      </c>
      <c r="AS66" s="207">
        <v>23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412</v>
      </c>
      <c r="AR67" s="207" t="s">
        <v>146</v>
      </c>
      <c r="AS67" s="207">
        <v>18</v>
      </c>
      <c r="AT67" s="207" t="s">
        <v>410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18.444444444444443</v>
      </c>
      <c r="D68" s="201"/>
      <c r="E68" s="201"/>
      <c r="F68" s="349"/>
      <c r="H68" s="349"/>
      <c r="I68" s="349"/>
      <c r="J68" s="350"/>
      <c r="K68" s="350"/>
      <c r="AQ68" s="207" t="s">
        <v>411</v>
      </c>
      <c r="AR68" s="207"/>
      <c r="AS68" s="207"/>
      <c r="AT68" s="207" t="s">
        <v>386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413</v>
      </c>
      <c r="D74" s="204"/>
      <c r="F74" s="206"/>
      <c r="H74" s="206"/>
      <c r="I74" s="206"/>
    </row>
    <row r="75" spans="1:58" x14ac:dyDescent="0.2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 t="s">
        <v>321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18.574074074074073</v>
      </c>
      <c r="E78" s="191"/>
      <c r="G78" s="352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C1:CN40"/>
  <sheetViews>
    <sheetView showGridLines="0" zoomScale="90" zoomScaleNormal="90" workbookViewId="0"/>
  </sheetViews>
  <sheetFormatPr defaultColWidth="9.109375" defaultRowHeight="13.8" outlineLevelCol="2" x14ac:dyDescent="0.25"/>
  <cols>
    <col min="1" max="2" width="2.88671875" style="187" customWidth="1"/>
    <col min="3" max="3" width="2.6640625" style="187" customWidth="1"/>
    <col min="4" max="4" width="24.6640625" style="187" customWidth="1"/>
    <col min="5" max="5" width="6.6640625" style="187" hidden="1" customWidth="1" outlineLevel="1"/>
    <col min="6" max="6" width="5.88671875" style="187" hidden="1" customWidth="1" outlineLevel="1"/>
    <col min="7" max="7" width="4.5546875" style="187" hidden="1" customWidth="1" outlineLevel="1"/>
    <col min="8" max="8" width="6.6640625" style="187" hidden="1" customWidth="1" outlineLevel="1"/>
    <col min="9" max="9" width="5.88671875" style="187" hidden="1" customWidth="1" outlineLevel="1"/>
    <col min="10" max="10" width="4.5546875" style="187" hidden="1" customWidth="1" outlineLevel="1"/>
    <col min="11" max="11" width="6.6640625" style="187" hidden="1" customWidth="1" outlineLevel="1"/>
    <col min="12" max="12" width="5.88671875" style="187" hidden="1" customWidth="1" outlineLevel="1"/>
    <col min="13" max="13" width="4.5546875" style="187" hidden="1" customWidth="1" outlineLevel="1"/>
    <col min="14" max="14" width="6.6640625" style="187" hidden="1" customWidth="1" outlineLevel="1"/>
    <col min="15" max="15" width="5.88671875" style="187" hidden="1" customWidth="1" outlineLevel="1"/>
    <col min="16" max="16" width="4.5546875" style="187" hidden="1" customWidth="1" outlineLevel="1"/>
    <col min="17" max="17" width="6.6640625" style="187" hidden="1" customWidth="1" outlineLevel="1"/>
    <col min="18" max="18" width="5.88671875" style="187" hidden="1" customWidth="1" outlineLevel="1"/>
    <col min="19" max="19" width="4.5546875" style="187" hidden="1" customWidth="1" outlineLevel="1"/>
    <col min="20" max="20" width="6.6640625" style="187" hidden="1" customWidth="1" outlineLevel="1"/>
    <col min="21" max="21" width="5.88671875" style="187" hidden="1" customWidth="1" outlineLevel="1"/>
    <col min="22" max="22" width="4.5546875" style="187" hidden="1" customWidth="1" outlineLevel="1"/>
    <col min="23" max="23" width="6.6640625" style="187" hidden="1" customWidth="1" outlineLevel="1"/>
    <col min="24" max="24" width="5.88671875" style="187" hidden="1" customWidth="1" outlineLevel="1"/>
    <col min="25" max="25" width="4.5546875" style="187" hidden="1" customWidth="1" outlineLevel="1"/>
    <col min="26" max="26" width="6.6640625" style="187" hidden="1" customWidth="1" outlineLevel="1"/>
    <col min="27" max="27" width="5.88671875" style="187" hidden="1" customWidth="1" outlineLevel="1"/>
    <col min="28" max="28" width="4.5546875" style="187" hidden="1" customWidth="1" outlineLevel="1"/>
    <col min="29" max="29" width="6.6640625" style="187" hidden="1" customWidth="1" outlineLevel="1"/>
    <col min="30" max="30" width="5.88671875" style="187" hidden="1" customWidth="1" outlineLevel="1"/>
    <col min="31" max="31" width="4.5546875" style="187" hidden="1" customWidth="1" outlineLevel="1"/>
    <col min="32" max="32" width="6.6640625" style="187" hidden="1" customWidth="1" outlineLevel="1"/>
    <col min="33" max="33" width="5.88671875" style="187" hidden="1" customWidth="1" outlineLevel="1"/>
    <col min="34" max="34" width="4.5546875" style="187" hidden="1" customWidth="1" outlineLevel="1"/>
    <col min="35" max="35" width="6.6640625" style="187" hidden="1" customWidth="1" outlineLevel="1"/>
    <col min="36" max="36" width="5.88671875" style="187" hidden="1" customWidth="1" outlineLevel="1"/>
    <col min="37" max="37" width="1.5546875" style="187" hidden="1" customWidth="1" outlineLevel="1"/>
    <col min="38" max="38" width="6.6640625" style="187" customWidth="1" collapsed="1"/>
    <col min="39" max="39" width="5.88671875" style="187" customWidth="1"/>
    <col min="40" max="40" width="4.5546875" style="187" customWidth="1"/>
    <col min="41" max="41" width="6.6640625" style="187" customWidth="1"/>
    <col min="42" max="42" width="5.88671875" style="187" customWidth="1"/>
    <col min="43" max="43" width="4.5546875" style="187" customWidth="1"/>
    <col min="44" max="44" width="6.6640625" style="187" customWidth="1"/>
    <col min="45" max="45" width="5.88671875" style="187" customWidth="1"/>
    <col min="46" max="46" width="4.5546875" style="187" customWidth="1"/>
    <col min="47" max="47" width="6.6640625" style="187" customWidth="1"/>
    <col min="48" max="48" width="5.88671875" style="187" customWidth="1"/>
    <col min="49" max="49" width="4.5546875" style="187" customWidth="1"/>
    <col min="50" max="50" width="6.6640625" style="187" customWidth="1"/>
    <col min="51" max="51" width="5.88671875" style="187" customWidth="1"/>
    <col min="52" max="52" width="4.5546875" style="187" customWidth="1"/>
    <col min="53" max="53" width="6.6640625" style="187" customWidth="1"/>
    <col min="54" max="54" width="5.88671875" style="187" customWidth="1"/>
    <col min="55" max="55" width="4.5546875" style="187" customWidth="1"/>
    <col min="56" max="56" width="6.6640625" style="187" customWidth="1"/>
    <col min="57" max="58" width="5.88671875" style="187" customWidth="1"/>
    <col min="59" max="59" width="6.6640625" style="187" customWidth="1"/>
    <col min="60" max="61" width="5.88671875" style="187" customWidth="1"/>
    <col min="62" max="62" width="6.6640625" style="187" customWidth="1"/>
    <col min="63" max="64" width="5.88671875" style="187" customWidth="1"/>
    <col min="65" max="65" width="6.6640625" style="187" customWidth="1"/>
    <col min="66" max="66" width="5.88671875" style="187" customWidth="1"/>
    <col min="67" max="67" width="4.5546875" style="187" customWidth="1"/>
    <col min="68" max="68" width="3.5546875" style="187" hidden="1" customWidth="1" outlineLevel="1"/>
    <col min="69" max="69" width="3.88671875" style="187" hidden="1" customWidth="1" outlineLevel="2"/>
    <col min="70" max="70" width="6.44140625" style="185" hidden="1" customWidth="1" outlineLevel="2"/>
    <col min="71" max="71" width="16.6640625" style="187" hidden="1" customWidth="1" outlineLevel="2"/>
    <col min="72" max="72" width="6.5546875" style="187" hidden="1" customWidth="1" outlineLevel="2"/>
    <col min="73" max="73" width="16.6640625" style="187" hidden="1" customWidth="1" outlineLevel="2"/>
    <col min="74" max="74" width="6.5546875" style="187" hidden="1" customWidth="1" outlineLevel="2"/>
    <col min="75" max="75" width="16.6640625" style="187" hidden="1" customWidth="1" outlineLevel="2"/>
    <col min="76" max="76" width="6.5546875" style="187" hidden="1" customWidth="1" outlineLevel="2"/>
    <col min="77" max="77" width="16.6640625" style="187" hidden="1" customWidth="1" outlineLevel="2"/>
    <col min="78" max="78" width="6.5546875" style="187" hidden="1" customWidth="1" outlineLevel="2"/>
    <col min="79" max="79" width="16.6640625" style="187" hidden="1" customWidth="1" outlineLevel="2"/>
    <col min="80" max="80" width="6.5546875" style="187" hidden="1" customWidth="1" outlineLevel="2"/>
    <col min="81" max="81" width="16.6640625" style="187" hidden="1" customWidth="1" outlineLevel="2"/>
    <col min="82" max="82" width="6.5546875" style="187" hidden="1" customWidth="1" outlineLevel="2"/>
    <col min="83" max="83" width="16.6640625" style="187" hidden="1" customWidth="1" outlineLevel="2"/>
    <col min="84" max="84" width="6.5546875" style="187" hidden="1" customWidth="1" outlineLevel="2"/>
    <col min="85" max="85" width="16.6640625" style="187" hidden="1" customWidth="1" outlineLevel="2"/>
    <col min="86" max="86" width="6.5546875" style="187" hidden="1" customWidth="1" outlineLevel="2"/>
    <col min="87" max="87" width="16.6640625" style="187" hidden="1" customWidth="1" outlineLevel="2"/>
    <col min="88" max="88" width="6.5546875" style="187" hidden="1" customWidth="1" outlineLevel="2"/>
    <col min="89" max="89" width="16.6640625" style="187" hidden="1" customWidth="1" outlineLevel="2"/>
    <col min="90" max="90" width="6.5546875" style="187" hidden="1" customWidth="1" outlineLevel="2"/>
    <col min="91" max="91" width="16.6640625" style="187" hidden="1" customWidth="1" outlineLevel="1" collapsed="1"/>
    <col min="92" max="92" width="9.109375" style="187" collapsed="1"/>
    <col min="93" max="16384" width="9.109375" style="187"/>
  </cols>
  <sheetData>
    <row r="1" spans="3:91" ht="18" x14ac:dyDescent="0.25">
      <c r="C1" s="167"/>
      <c r="D1" s="167" t="s">
        <v>123</v>
      </c>
    </row>
    <row r="4" spans="3:91" x14ac:dyDescent="0.25">
      <c r="C4" s="250"/>
      <c r="D4" s="250"/>
    </row>
    <row r="5" spans="3:91" ht="27" customHeight="1" x14ac:dyDescent="0.25">
      <c r="C5" s="365" t="s">
        <v>124</v>
      </c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251"/>
      <c r="T5" s="251"/>
      <c r="U5" s="251"/>
      <c r="V5" s="251"/>
      <c r="W5" s="252"/>
      <c r="X5" s="252"/>
      <c r="Y5" s="251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3"/>
      <c r="BN5" s="253"/>
      <c r="BS5" s="256" t="s">
        <v>125</v>
      </c>
      <c r="BT5" s="256"/>
      <c r="BU5" s="256" t="s">
        <v>126</v>
      </c>
      <c r="BV5" s="256"/>
      <c r="BW5" s="256" t="s">
        <v>127</v>
      </c>
      <c r="BX5" s="256"/>
      <c r="BY5" s="256" t="s">
        <v>128</v>
      </c>
      <c r="BZ5" s="256"/>
      <c r="CA5" s="256" t="s">
        <v>129</v>
      </c>
      <c r="CB5" s="256"/>
      <c r="CC5" s="256" t="s">
        <v>130</v>
      </c>
      <c r="CD5" s="256"/>
      <c r="CE5" s="256" t="s">
        <v>131</v>
      </c>
      <c r="CF5" s="256"/>
      <c r="CG5" s="256" t="s">
        <v>132</v>
      </c>
      <c r="CH5" s="256"/>
      <c r="CI5" s="256" t="s">
        <v>133</v>
      </c>
      <c r="CJ5" s="256"/>
      <c r="CK5" s="256" t="s">
        <v>134</v>
      </c>
      <c r="CL5" s="256"/>
      <c r="CM5" s="256" t="s">
        <v>135</v>
      </c>
    </row>
    <row r="6" spans="3:91" x14ac:dyDescent="0.25">
      <c r="BM6" s="254"/>
      <c r="BN6" s="254"/>
    </row>
    <row r="7" spans="3:91" s="203" customFormat="1" x14ac:dyDescent="0.25">
      <c r="E7" s="367">
        <v>37621</v>
      </c>
      <c r="F7" s="368"/>
      <c r="G7" s="298"/>
      <c r="H7" s="367">
        <v>37986</v>
      </c>
      <c r="I7" s="368"/>
      <c r="J7" s="250"/>
      <c r="K7" s="367">
        <v>38352</v>
      </c>
      <c r="L7" s="368"/>
      <c r="M7" s="298"/>
      <c r="N7" s="367">
        <v>38717</v>
      </c>
      <c r="O7" s="368"/>
      <c r="P7" s="189"/>
      <c r="Q7" s="367">
        <v>39082</v>
      </c>
      <c r="R7" s="368"/>
      <c r="S7" s="189"/>
      <c r="T7" s="367" t="s">
        <v>136</v>
      </c>
      <c r="U7" s="368"/>
      <c r="V7" s="189"/>
      <c r="W7" s="367" t="s">
        <v>137</v>
      </c>
      <c r="X7" s="368"/>
      <c r="Y7" s="189"/>
      <c r="Z7" s="367">
        <v>40178</v>
      </c>
      <c r="AA7" s="368"/>
      <c r="AB7" s="189"/>
      <c r="AC7" s="367">
        <v>40543</v>
      </c>
      <c r="AD7" s="368"/>
      <c r="AE7" s="189"/>
      <c r="AF7" s="367">
        <v>40908</v>
      </c>
      <c r="AG7" s="368"/>
      <c r="AH7" s="189"/>
      <c r="AI7" s="367">
        <v>41274</v>
      </c>
      <c r="AJ7" s="368"/>
      <c r="AK7" s="189"/>
      <c r="AL7" s="367" t="str">
        <f ca="1">INDIRECT( BU7 )</f>
        <v>2013 Q4</v>
      </c>
      <c r="AM7" s="368"/>
      <c r="AN7" s="189"/>
      <c r="AO7" s="367" t="str">
        <f ca="1">INDIRECT( BW7 )</f>
        <v>2014 Q4</v>
      </c>
      <c r="AP7" s="368"/>
      <c r="AQ7" s="189"/>
      <c r="AR7" s="367" t="str">
        <f ca="1">INDIRECT( BY7 )</f>
        <v>2015 Q4</v>
      </c>
      <c r="AS7" s="368"/>
      <c r="AT7" s="189"/>
      <c r="AU7" s="367" t="str">
        <f ca="1">INDIRECT( CA7 )</f>
        <v>2016 Q4</v>
      </c>
      <c r="AV7" s="368"/>
      <c r="AW7" s="189"/>
      <c r="AX7" s="367" t="str">
        <f ca="1">INDIRECT( CC7 )</f>
        <v>2017 Q4</v>
      </c>
      <c r="AY7" s="368"/>
      <c r="AZ7" s="189"/>
      <c r="BA7" s="367" t="str">
        <f ca="1">INDIRECT( CE7 )</f>
        <v>2018 Q4</v>
      </c>
      <c r="BB7" s="368"/>
      <c r="BC7" s="189"/>
      <c r="BD7" s="367" t="str">
        <f ca="1">INDIRECT( CG7 )</f>
        <v>2019 Q4</v>
      </c>
      <c r="BE7" s="368"/>
      <c r="BF7" s="189"/>
      <c r="BG7" s="367" t="str">
        <f ca="1">INDIRECT( CI7 )</f>
        <v>2020 Q4</v>
      </c>
      <c r="BH7" s="368"/>
      <c r="BI7" s="189"/>
      <c r="BJ7" s="367" t="str">
        <f ca="1">INDIRECT( CK7 )</f>
        <v>2021 Q4</v>
      </c>
      <c r="BK7" s="367"/>
      <c r="BL7" s="189"/>
      <c r="BM7" s="364" t="str">
        <f ca="1">INDIRECT( CM7 )</f>
        <v>2022 Q2</v>
      </c>
      <c r="BN7" s="364"/>
      <c r="BR7" s="262" t="s">
        <v>138</v>
      </c>
      <c r="BS7" s="187" t="str">
        <f ca="1">BS$5 &amp; "!" &amp;$BR7</f>
        <v>'Credit_2012Q4'!b6</v>
      </c>
      <c r="BU7" s="187" t="str">
        <f ca="1">BU$5 &amp; "!" &amp;$BR7</f>
        <v>'Credit_2013Q4'!b6</v>
      </c>
      <c r="BW7" s="187" t="str">
        <f ca="1">BW$5 &amp; "!" &amp;$BR7</f>
        <v>'Credit_2014Q4'!b6</v>
      </c>
      <c r="BY7" s="187" t="str">
        <f ca="1">BY$5 &amp; "!" &amp;$BR7</f>
        <v>'Credit_2015Q4'!b6</v>
      </c>
      <c r="CA7" s="187" t="str">
        <f ca="1">CA$5 &amp; "!" &amp;$BR7</f>
        <v>'Credit_2016Q4'!b6</v>
      </c>
      <c r="CC7" s="187" t="str">
        <f ca="1">CC$5 &amp; "!" &amp;$BR7</f>
        <v>'Credit_2017Q4'!b6</v>
      </c>
      <c r="CE7" s="187" t="str">
        <f ca="1">CE$5 &amp; "!" &amp;$BR7</f>
        <v>'Credit_2018Q4'!b6</v>
      </c>
      <c r="CG7" s="187" t="str">
        <f ca="1">CG$5 &amp; "!" &amp;$BR7</f>
        <v>'Credit_2019Q4'!b6</v>
      </c>
      <c r="CI7" s="187" t="str">
        <f ca="1">CI$5 &amp; "!" &amp;$BR7</f>
        <v>'Credit_2020Q4'!b6</v>
      </c>
      <c r="CK7" s="187" t="str">
        <f ca="1">CK$5 &amp; "!" &amp;$BR7</f>
        <v>'Credit_2021Q4'!b6</v>
      </c>
      <c r="CM7" s="187" t="str">
        <f ca="1">CM$5 &amp; "!" &amp;$BR7</f>
        <v>'Credit_2022Q2'!b6</v>
      </c>
    </row>
    <row r="8" spans="3:91" s="203" customFormat="1" x14ac:dyDescent="0.25">
      <c r="E8" s="185" t="s">
        <v>139</v>
      </c>
      <c r="F8" s="272" t="s">
        <v>140</v>
      </c>
      <c r="G8" s="185"/>
      <c r="H8" s="185" t="s">
        <v>139</v>
      </c>
      <c r="I8" s="272" t="s">
        <v>140</v>
      </c>
      <c r="J8" s="185"/>
      <c r="K8" s="185" t="s">
        <v>139</v>
      </c>
      <c r="L8" s="272" t="s">
        <v>140</v>
      </c>
      <c r="M8" s="185"/>
      <c r="N8" s="185" t="s">
        <v>139</v>
      </c>
      <c r="O8" s="272" t="s">
        <v>140</v>
      </c>
      <c r="P8" s="272"/>
      <c r="Q8" s="185" t="s">
        <v>139</v>
      </c>
      <c r="R8" s="185" t="s">
        <v>140</v>
      </c>
      <c r="S8" s="272"/>
      <c r="T8" s="185" t="s">
        <v>139</v>
      </c>
      <c r="U8" s="185" t="s">
        <v>140</v>
      </c>
      <c r="V8" s="272"/>
      <c r="W8" s="185" t="s">
        <v>139</v>
      </c>
      <c r="X8" s="255" t="s">
        <v>140</v>
      </c>
      <c r="Y8" s="272"/>
      <c r="Z8" s="185" t="s">
        <v>139</v>
      </c>
      <c r="AA8" s="255" t="s">
        <v>140</v>
      </c>
      <c r="AB8" s="272"/>
      <c r="AC8" s="185" t="s">
        <v>139</v>
      </c>
      <c r="AD8" s="255" t="s">
        <v>140</v>
      </c>
      <c r="AE8" s="272"/>
      <c r="AF8" s="185" t="s">
        <v>139</v>
      </c>
      <c r="AG8" s="255" t="s">
        <v>140</v>
      </c>
      <c r="AH8" s="272"/>
      <c r="AI8" s="185" t="s">
        <v>139</v>
      </c>
      <c r="AJ8" s="255" t="s">
        <v>140</v>
      </c>
      <c r="AK8" s="272"/>
      <c r="AL8" s="185" t="s">
        <v>139</v>
      </c>
      <c r="AM8" s="255" t="s">
        <v>140</v>
      </c>
      <c r="AN8" s="272"/>
      <c r="AO8" s="185" t="s">
        <v>139</v>
      </c>
      <c r="AP8" s="255" t="s">
        <v>140</v>
      </c>
      <c r="AQ8" s="272"/>
      <c r="AR8" s="185" t="s">
        <v>139</v>
      </c>
      <c r="AS8" s="255" t="s">
        <v>140</v>
      </c>
      <c r="AT8" s="272"/>
      <c r="AU8" s="185" t="s">
        <v>139</v>
      </c>
      <c r="AV8" s="255" t="s">
        <v>140</v>
      </c>
      <c r="AW8" s="272"/>
      <c r="AX8" s="185" t="s">
        <v>139</v>
      </c>
      <c r="AY8" s="255" t="s">
        <v>140</v>
      </c>
      <c r="AZ8" s="272"/>
      <c r="BA8" s="185" t="s">
        <v>139</v>
      </c>
      <c r="BB8" s="255" t="s">
        <v>140</v>
      </c>
      <c r="BC8" s="272"/>
      <c r="BD8" s="185" t="s">
        <v>139</v>
      </c>
      <c r="BE8" s="255" t="s">
        <v>140</v>
      </c>
      <c r="BF8" s="255"/>
      <c r="BG8" s="185" t="s">
        <v>139</v>
      </c>
      <c r="BH8" s="255" t="s">
        <v>140</v>
      </c>
      <c r="BI8" s="255"/>
      <c r="BJ8" s="185" t="s">
        <v>139</v>
      </c>
      <c r="BK8" s="255" t="s">
        <v>140</v>
      </c>
      <c r="BL8" s="255"/>
      <c r="BM8" s="280" t="s">
        <v>139</v>
      </c>
      <c r="BN8" s="281" t="s">
        <v>140</v>
      </c>
      <c r="BR8" s="255"/>
    </row>
    <row r="9" spans="3:91" s="203" customFormat="1" x14ac:dyDescent="0.25">
      <c r="E9" s="185"/>
      <c r="F9" s="272"/>
      <c r="G9" s="185"/>
      <c r="H9" s="185"/>
      <c r="I9" s="272"/>
      <c r="J9" s="185"/>
      <c r="K9" s="185"/>
      <c r="L9" s="272"/>
      <c r="M9" s="185"/>
      <c r="N9" s="185"/>
      <c r="O9" s="272"/>
      <c r="P9" s="272"/>
      <c r="Q9" s="185"/>
      <c r="R9" s="185"/>
      <c r="S9" s="272"/>
      <c r="T9" s="185"/>
      <c r="U9" s="185"/>
      <c r="V9" s="272"/>
      <c r="W9" s="185"/>
      <c r="X9" s="255"/>
      <c r="Y9" s="272"/>
      <c r="Z9" s="185"/>
      <c r="AA9" s="255"/>
      <c r="AB9" s="272"/>
      <c r="AC9" s="185"/>
      <c r="AD9" s="255"/>
      <c r="AE9" s="272"/>
      <c r="AF9" s="185"/>
      <c r="AG9" s="255"/>
      <c r="AH9" s="272"/>
      <c r="AI9" s="185"/>
      <c r="AJ9" s="255"/>
      <c r="AK9" s="272"/>
      <c r="AL9" s="185"/>
      <c r="AM9" s="255"/>
      <c r="AN9" s="272"/>
      <c r="AO9" s="185"/>
      <c r="AP9" s="255"/>
      <c r="AQ9" s="272"/>
      <c r="AR9" s="185"/>
      <c r="AS9" s="255"/>
      <c r="AT9" s="272"/>
      <c r="AU9" s="185"/>
      <c r="AV9" s="255"/>
      <c r="AW9" s="272"/>
      <c r="AX9" s="185"/>
      <c r="AY9" s="255"/>
      <c r="AZ9" s="272"/>
      <c r="BA9" s="185"/>
      <c r="BB9" s="255"/>
      <c r="BC9" s="272"/>
      <c r="BD9" s="185"/>
      <c r="BE9" s="255"/>
      <c r="BF9" s="255"/>
      <c r="BG9" s="185"/>
      <c r="BH9" s="255"/>
      <c r="BI9" s="255"/>
      <c r="BJ9" s="185"/>
      <c r="BK9" s="255"/>
      <c r="BL9" s="255"/>
      <c r="BM9" s="280"/>
      <c r="BN9" s="281"/>
      <c r="BR9" s="255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</row>
    <row r="10" spans="3:91" x14ac:dyDescent="0.25">
      <c r="C10" s="257"/>
      <c r="D10" s="257" t="s">
        <v>141</v>
      </c>
      <c r="E10" s="282"/>
      <c r="F10" s="273"/>
      <c r="G10" s="258"/>
      <c r="H10" s="282"/>
      <c r="I10" s="273"/>
      <c r="J10" s="258"/>
      <c r="K10" s="282"/>
      <c r="L10" s="273"/>
      <c r="M10" s="258"/>
      <c r="N10" s="282"/>
      <c r="O10" s="273"/>
      <c r="P10" s="273"/>
      <c r="Q10" s="283"/>
      <c r="R10" s="282"/>
      <c r="S10" s="273"/>
      <c r="T10" s="283"/>
      <c r="U10" s="282"/>
      <c r="V10" s="273"/>
      <c r="W10" s="284"/>
      <c r="X10" s="284"/>
      <c r="Y10" s="273"/>
      <c r="Z10" s="284"/>
      <c r="AA10" s="284"/>
      <c r="AB10" s="273"/>
      <c r="AC10" s="284"/>
      <c r="AD10" s="284"/>
      <c r="AE10" s="273"/>
      <c r="AF10" s="284"/>
      <c r="AG10" s="284"/>
      <c r="AH10" s="273"/>
      <c r="AI10" s="284"/>
      <c r="AJ10" s="284"/>
      <c r="AK10" s="273"/>
      <c r="AL10" s="284"/>
      <c r="AM10" s="284"/>
      <c r="AN10" s="273"/>
      <c r="AO10" s="284"/>
      <c r="AP10" s="284"/>
      <c r="AQ10" s="273"/>
      <c r="AR10" s="284"/>
      <c r="AS10" s="284"/>
      <c r="AT10" s="273"/>
      <c r="AU10" s="284"/>
      <c r="AV10" s="284"/>
      <c r="AW10" s="273"/>
      <c r="AX10" s="284"/>
      <c r="AY10" s="284"/>
      <c r="AZ10" s="273"/>
      <c r="BA10" s="284"/>
      <c r="BB10" s="284"/>
      <c r="BC10" s="273"/>
      <c r="BD10" s="284"/>
      <c r="BE10" s="284"/>
      <c r="BF10" s="284"/>
      <c r="BG10" s="284"/>
      <c r="BH10" s="284"/>
      <c r="BI10" s="284"/>
      <c r="BJ10" s="284"/>
      <c r="BK10" s="284"/>
      <c r="BL10" s="284"/>
      <c r="BM10" s="285"/>
      <c r="BN10" s="285"/>
    </row>
    <row r="11" spans="3:91" x14ac:dyDescent="0.25">
      <c r="C11" s="259"/>
      <c r="D11" s="259" t="s">
        <v>142</v>
      </c>
      <c r="E11" s="213">
        <v>6</v>
      </c>
      <c r="F11" s="274">
        <f t="shared" ref="F11:F16" ca="1" si="0">E11/$E$17</f>
        <v>0.1875</v>
      </c>
      <c r="G11" s="260"/>
      <c r="H11" s="213">
        <v>6</v>
      </c>
      <c r="I11" s="274">
        <f t="shared" ref="I11:I16" ca="1" si="1">H11/$H$17</f>
        <v>0.16666666666666666</v>
      </c>
      <c r="J11" s="260"/>
      <c r="K11" s="213">
        <v>7</v>
      </c>
      <c r="L11" s="274">
        <f t="shared" ref="L11:L16" ca="1" si="2">K11/$K$17</f>
        <v>0.19444444444444445</v>
      </c>
      <c r="M11" s="260"/>
      <c r="N11" s="213">
        <v>7</v>
      </c>
      <c r="O11" s="274">
        <f t="shared" ref="O11:O16" ca="1" si="3">N11/$N$17</f>
        <v>0.19444444444444445</v>
      </c>
      <c r="P11" s="274"/>
      <c r="Q11" s="213">
        <v>6</v>
      </c>
      <c r="R11" s="274">
        <f t="shared" ref="R11:R16" ca="1" si="4">Q11/$Q$17</f>
        <v>0.1875</v>
      </c>
      <c r="S11" s="274"/>
      <c r="T11" s="213">
        <v>5</v>
      </c>
      <c r="U11" s="274">
        <f t="shared" ref="U11:U16" ca="1" si="5">T11/$T$17</f>
        <v>0.13157894736842105</v>
      </c>
      <c r="V11" s="274"/>
      <c r="W11" s="213">
        <v>3</v>
      </c>
      <c r="X11" s="274">
        <f t="shared" ref="X11:X16" ca="1" si="6">W11/$W$17</f>
        <v>7.6923076923076927E-2</v>
      </c>
      <c r="Y11" s="274"/>
      <c r="Z11" s="213">
        <v>3</v>
      </c>
      <c r="AA11" s="274">
        <f t="shared" ref="AA11:AA16" ca="1" si="7">Z11/Z$17</f>
        <v>7.3170731707317069E-2</v>
      </c>
      <c r="AB11" s="274"/>
      <c r="AC11" s="213">
        <f ca="1">Credit_2010Q4!$AD8</f>
        <v>3</v>
      </c>
      <c r="AD11" s="274">
        <f t="shared" ref="AD11:AD16" ca="1" si="8">AC11/AC$17</f>
        <v>8.5714285714285715E-2</v>
      </c>
      <c r="AE11" s="274"/>
      <c r="AF11" s="213">
        <f ca="1">Credit_2011Q4!$AD8</f>
        <v>3</v>
      </c>
      <c r="AG11" s="274">
        <f t="shared" ref="AG11:AG16" ca="1" si="9">AF11/AF$17</f>
        <v>8.1081081081081086E-2</v>
      </c>
      <c r="AH11" s="274"/>
      <c r="AI11" s="213">
        <f t="shared" ref="AI11:AI16" ca="1" si="10">INDIRECT( BS11 &amp; $BQ11 )</f>
        <v>2</v>
      </c>
      <c r="AJ11" s="274">
        <f t="shared" ref="AJ11:AJ16" ca="1" si="11">AI11/AI$17</f>
        <v>5.5555555555555552E-2</v>
      </c>
      <c r="AK11" s="274"/>
      <c r="AL11" s="213">
        <f t="shared" ref="AL11:AL16" ca="1" si="12">INDIRECT( BU11 &amp; $BQ11 )</f>
        <v>1</v>
      </c>
      <c r="AM11" s="274">
        <f t="shared" ref="AM11:AM16" ca="1" si="13">AL11/AL$17</f>
        <v>2.8571428571428571E-2</v>
      </c>
      <c r="AN11" s="274"/>
      <c r="AO11" s="213">
        <f ca="1">INDIRECT( BW11 &amp; $BQ11 )</f>
        <v>1</v>
      </c>
      <c r="AP11" s="274">
        <f t="shared" ref="AP11:AP16" ca="1" si="14">AO11/AO$17</f>
        <v>2.6315789473684209E-2</v>
      </c>
      <c r="AQ11" s="274"/>
      <c r="AR11" s="213">
        <f t="shared" ref="AR11:AR16" ca="1" si="15">INDIRECT( BY11 &amp; $BQ11 )</f>
        <v>1</v>
      </c>
      <c r="AS11" s="274">
        <f t="shared" ref="AS11:AS16" ca="1" si="16">AR11/AR$17</f>
        <v>2.7777777777777776E-2</v>
      </c>
      <c r="AT11" s="274"/>
      <c r="AU11" s="213">
        <f t="shared" ref="AU11:AU16" ca="1" si="17">INDIRECT( CA11 &amp; $BQ11 )</f>
        <v>2</v>
      </c>
      <c r="AV11" s="274">
        <f t="shared" ref="AV11:AV16" ca="1" si="18">AU11/AU$17</f>
        <v>5.5555555555555552E-2</v>
      </c>
      <c r="AW11" s="274"/>
      <c r="AX11" s="213">
        <f t="shared" ref="AX11:AX16" ca="1" si="19">INDIRECT( CC11 &amp; $BQ11 )</f>
        <v>2</v>
      </c>
      <c r="AY11" s="274">
        <f t="shared" ref="AY11:AY16" ca="1" si="20">AX11/AX$17</f>
        <v>5.7142857142857141E-2</v>
      </c>
      <c r="AZ11" s="274"/>
      <c r="BA11" s="213">
        <f ca="1">INDIRECT( CE11 &amp; $BQ11 )</f>
        <v>1</v>
      </c>
      <c r="BB11" s="274">
        <f t="shared" ref="BB11:BB16" ca="1" si="21">BA11/BA$17</f>
        <v>2.9411764705882353E-2</v>
      </c>
      <c r="BC11" s="274"/>
      <c r="BD11" s="213">
        <f t="shared" ref="BD11:BD16" ca="1" si="22">INDIRECT( CG11 &amp; $BQ11 )</f>
        <v>1</v>
      </c>
      <c r="BE11" s="274">
        <f t="shared" ref="BE11:BE16" ca="1" si="23">BD11/BD$17</f>
        <v>2.8571428571428571E-2</v>
      </c>
      <c r="BF11" s="274"/>
      <c r="BG11" s="213">
        <f t="shared" ref="BG11:BG16" ca="1" si="24">INDIRECT( CI11 &amp; $BQ11 )</f>
        <v>1</v>
      </c>
      <c r="BH11" s="274">
        <f t="shared" ref="BH11:BH16" ca="1" si="25">BG11/BG$17</f>
        <v>2.9411764705882353E-2</v>
      </c>
      <c r="BI11" s="274"/>
      <c r="BJ11" s="213">
        <f t="shared" ref="BJ11:BJ16" ca="1" si="26">INDIRECT( CK11 &amp; $BQ11 )</f>
        <v>1</v>
      </c>
      <c r="BK11" s="274">
        <f t="shared" ref="BK11:BK16" ca="1" si="27">BJ11/BJ$17</f>
        <v>2.8571428571428571E-2</v>
      </c>
      <c r="BL11" s="274"/>
      <c r="BM11" s="286">
        <f t="shared" ref="BM11:BM16" ca="1" si="28">INDIRECT( CM11 &amp; $BQ11 )</f>
        <v>1</v>
      </c>
      <c r="BN11" s="292">
        <f t="shared" ref="BN11:BN16" ca="1" si="29">BM11/BM$17</f>
        <v>2.7777777777777776E-2</v>
      </c>
      <c r="BQ11" s="261">
        <v>8</v>
      </c>
      <c r="BR11" s="262" t="s">
        <v>143</v>
      </c>
      <c r="BS11" s="187" t="str">
        <f t="shared" ref="BS11:BS16" ca="1" si="30">BS$5 &amp; "!" &amp;$BR11</f>
        <v>'Credit_2012Q4'!o</v>
      </c>
      <c r="BU11" s="187" t="str">
        <f t="shared" ref="BU11:BU16" ca="1" si="31">BU$5 &amp; "!" &amp;$BR11</f>
        <v>'Credit_2013Q4'!o</v>
      </c>
      <c r="BW11" s="187" t="str">
        <f t="shared" ref="BW11:CM16" ca="1" si="32">BW$5 &amp; "!" &amp;$BR11</f>
        <v>'Credit_2014Q4'!o</v>
      </c>
      <c r="BY11" s="187" t="str">
        <f t="shared" ca="1" si="32"/>
        <v>'Credit_2015Q4'!o</v>
      </c>
      <c r="CA11" s="187" t="str">
        <f t="shared" ca="1" si="32"/>
        <v>'Credit_2016Q4'!o</v>
      </c>
      <c r="CC11" s="187" t="str">
        <f t="shared" ca="1" si="32"/>
        <v>'Credit_2017Q4'!o</v>
      </c>
      <c r="CE11" s="187" t="str">
        <f t="shared" ca="1" si="32"/>
        <v>'Credit_2018Q4'!o</v>
      </c>
      <c r="CG11" s="187" t="str">
        <f t="shared" ca="1" si="32"/>
        <v>'Credit_2019Q4'!o</v>
      </c>
      <c r="CI11" s="187" t="str">
        <f t="shared" ca="1" si="32"/>
        <v>'Credit_2020Q4'!o</v>
      </c>
      <c r="CK11" s="187" t="str">
        <f t="shared" ca="1" si="32"/>
        <v>'Credit_2021Q4'!o</v>
      </c>
      <c r="CM11" s="187" t="str">
        <f t="shared" ca="1" si="32"/>
        <v>'Credit_2022Q2'!o</v>
      </c>
    </row>
    <row r="12" spans="3:91" x14ac:dyDescent="0.25">
      <c r="C12" s="263"/>
      <c r="D12" s="263" t="s">
        <v>144</v>
      </c>
      <c r="E12" s="215">
        <v>7</v>
      </c>
      <c r="F12" s="275">
        <f t="shared" ca="1" si="0"/>
        <v>0.21875</v>
      </c>
      <c r="G12" s="264"/>
      <c r="H12" s="215">
        <v>5</v>
      </c>
      <c r="I12" s="275">
        <f t="shared" ca="1" si="1"/>
        <v>0.1388888888888889</v>
      </c>
      <c r="J12" s="264"/>
      <c r="K12" s="215">
        <v>4</v>
      </c>
      <c r="L12" s="275">
        <f t="shared" ca="1" si="2"/>
        <v>0.1111111111111111</v>
      </c>
      <c r="M12" s="264"/>
      <c r="N12" s="215">
        <v>3</v>
      </c>
      <c r="O12" s="275">
        <f t="shared" ca="1" si="3"/>
        <v>8.3333333333333329E-2</v>
      </c>
      <c r="P12" s="275"/>
      <c r="Q12" s="215">
        <v>1</v>
      </c>
      <c r="R12" s="275">
        <f t="shared" ca="1" si="4"/>
        <v>3.125E-2</v>
      </c>
      <c r="S12" s="275"/>
      <c r="T12" s="215">
        <v>2</v>
      </c>
      <c r="U12" s="275">
        <f t="shared" ca="1" si="5"/>
        <v>5.2631578947368418E-2</v>
      </c>
      <c r="V12" s="275"/>
      <c r="W12" s="215">
        <v>4</v>
      </c>
      <c r="X12" s="275">
        <f t="shared" ca="1" si="6"/>
        <v>0.10256410256410256</v>
      </c>
      <c r="Y12" s="275"/>
      <c r="Z12" s="215">
        <v>6</v>
      </c>
      <c r="AA12" s="275">
        <f t="shared" ca="1" si="7"/>
        <v>0.14634146341463414</v>
      </c>
      <c r="AB12" s="275"/>
      <c r="AC12" s="215">
        <f ca="1">Credit_2010Q4!$AD9</f>
        <v>5</v>
      </c>
      <c r="AD12" s="275">
        <f t="shared" ca="1" si="8"/>
        <v>0.14285714285714285</v>
      </c>
      <c r="AE12" s="275"/>
      <c r="AF12" s="215">
        <f ca="1">Credit_2011Q4!$AD9</f>
        <v>5</v>
      </c>
      <c r="AG12" s="275">
        <f t="shared" ca="1" si="9"/>
        <v>0.13513513513513514</v>
      </c>
      <c r="AH12" s="275"/>
      <c r="AI12" s="215">
        <f t="shared" ca="1" si="10"/>
        <v>6</v>
      </c>
      <c r="AJ12" s="275">
        <f t="shared" ca="1" si="11"/>
        <v>0.16666666666666666</v>
      </c>
      <c r="AK12" s="275"/>
      <c r="AL12" s="215">
        <f t="shared" ca="1" si="12"/>
        <v>7</v>
      </c>
      <c r="AM12" s="275">
        <f t="shared" ca="1" si="13"/>
        <v>0.2</v>
      </c>
      <c r="AN12" s="275"/>
      <c r="AO12" s="215">
        <f t="shared" ref="AO12:AO16" ca="1" si="33">INDIRECT( BW12 &amp; $BQ12 )</f>
        <v>8</v>
      </c>
      <c r="AP12" s="275">
        <f t="shared" ca="1" si="14"/>
        <v>0.21052631578947367</v>
      </c>
      <c r="AQ12" s="275"/>
      <c r="AR12" s="215">
        <f t="shared" ca="1" si="15"/>
        <v>8</v>
      </c>
      <c r="AS12" s="275">
        <f t="shared" ca="1" si="16"/>
        <v>0.22222222222222221</v>
      </c>
      <c r="AT12" s="275"/>
      <c r="AU12" s="215">
        <f t="shared" ca="1" si="17"/>
        <v>10</v>
      </c>
      <c r="AV12" s="275">
        <f t="shared" ca="1" si="18"/>
        <v>0.27777777777777779</v>
      </c>
      <c r="AW12" s="275"/>
      <c r="AX12" s="215">
        <f t="shared" ca="1" si="19"/>
        <v>12</v>
      </c>
      <c r="AY12" s="275">
        <f t="shared" ca="1" si="20"/>
        <v>0.34285714285714286</v>
      </c>
      <c r="AZ12" s="275"/>
      <c r="BA12" s="215">
        <f t="shared" ref="BA12:BA26" ca="1" si="34">INDIRECT( CE12 &amp; $BQ12 )</f>
        <v>11</v>
      </c>
      <c r="BB12" s="275">
        <f t="shared" ca="1" si="21"/>
        <v>0.3235294117647059</v>
      </c>
      <c r="BC12" s="275"/>
      <c r="BD12" s="215">
        <f t="shared" ca="1" si="22"/>
        <v>11</v>
      </c>
      <c r="BE12" s="275">
        <f t="shared" ca="1" si="23"/>
        <v>0.31428571428571428</v>
      </c>
      <c r="BF12" s="275"/>
      <c r="BG12" s="215">
        <f t="shared" ca="1" si="24"/>
        <v>11</v>
      </c>
      <c r="BH12" s="275">
        <f t="shared" ca="1" si="25"/>
        <v>0.3235294117647059</v>
      </c>
      <c r="BI12" s="275"/>
      <c r="BJ12" s="215">
        <f t="shared" ca="1" si="26"/>
        <v>8</v>
      </c>
      <c r="BK12" s="275">
        <f t="shared" ca="1" si="27"/>
        <v>0.22857142857142856</v>
      </c>
      <c r="BL12" s="275"/>
      <c r="BM12" s="287">
        <f t="shared" ca="1" si="28"/>
        <v>8</v>
      </c>
      <c r="BN12" s="293">
        <f t="shared" ca="1" si="29"/>
        <v>0.22222222222222221</v>
      </c>
      <c r="BQ12" s="187">
        <f ca="1">BQ11+1</f>
        <v>9</v>
      </c>
      <c r="BR12" s="185" t="str">
        <f ca="1">BR11</f>
        <v>o</v>
      </c>
      <c r="BS12" s="187" t="str">
        <f t="shared" ca="1" si="30"/>
        <v>'Credit_2012Q4'!o</v>
      </c>
      <c r="BU12" s="187" t="str">
        <f t="shared" ca="1" si="31"/>
        <v>'Credit_2013Q4'!o</v>
      </c>
      <c r="BW12" s="187" t="str">
        <f t="shared" ca="1" si="32"/>
        <v>'Credit_2014Q4'!o</v>
      </c>
      <c r="BY12" s="187" t="str">
        <f t="shared" ca="1" si="32"/>
        <v>'Credit_2015Q4'!o</v>
      </c>
      <c r="CA12" s="187" t="str">
        <f t="shared" ca="1" si="32"/>
        <v>'Credit_2016Q4'!o</v>
      </c>
      <c r="CC12" s="187" t="str">
        <f t="shared" ca="1" si="32"/>
        <v>'Credit_2017Q4'!o</v>
      </c>
      <c r="CE12" s="187" t="str">
        <f t="shared" ca="1" si="32"/>
        <v>'Credit_2018Q4'!o</v>
      </c>
      <c r="CG12" s="187" t="str">
        <f t="shared" ca="1" si="32"/>
        <v>'Credit_2019Q4'!o</v>
      </c>
      <c r="CI12" s="187" t="str">
        <f t="shared" ca="1" si="32"/>
        <v>'Credit_2020Q4'!o</v>
      </c>
      <c r="CK12" s="187" t="str">
        <f t="shared" ca="1" si="32"/>
        <v>'Credit_2021Q4'!o</v>
      </c>
      <c r="CM12" s="187" t="str">
        <f t="shared" ca="1" si="32"/>
        <v>'Credit_2022Q2'!o</v>
      </c>
    </row>
    <row r="13" spans="3:91" x14ac:dyDescent="0.25">
      <c r="C13" s="263"/>
      <c r="D13" s="263" t="s">
        <v>145</v>
      </c>
      <c r="E13" s="215">
        <v>3</v>
      </c>
      <c r="F13" s="275">
        <f t="shared" ca="1" si="0"/>
        <v>9.375E-2</v>
      </c>
      <c r="G13" s="264"/>
      <c r="H13" s="215">
        <v>6</v>
      </c>
      <c r="I13" s="275">
        <f t="shared" ca="1" si="1"/>
        <v>0.16666666666666666</v>
      </c>
      <c r="J13" s="264"/>
      <c r="K13" s="215">
        <v>7</v>
      </c>
      <c r="L13" s="275">
        <f t="shared" ca="1" si="2"/>
        <v>0.19444444444444445</v>
      </c>
      <c r="M13" s="264"/>
      <c r="N13" s="215">
        <v>8</v>
      </c>
      <c r="O13" s="275">
        <f t="shared" ca="1" si="3"/>
        <v>0.22222222222222221</v>
      </c>
      <c r="P13" s="275"/>
      <c r="Q13" s="215">
        <v>7</v>
      </c>
      <c r="R13" s="275">
        <f t="shared" ca="1" si="4"/>
        <v>0.21875</v>
      </c>
      <c r="S13" s="275"/>
      <c r="T13" s="215">
        <v>10</v>
      </c>
      <c r="U13" s="275">
        <f t="shared" ca="1" si="5"/>
        <v>0.26315789473684209</v>
      </c>
      <c r="V13" s="275"/>
      <c r="W13" s="215">
        <v>9</v>
      </c>
      <c r="X13" s="275">
        <f t="shared" ca="1" si="6"/>
        <v>0.23076923076923078</v>
      </c>
      <c r="Y13" s="275"/>
      <c r="Z13" s="215">
        <v>9</v>
      </c>
      <c r="AA13" s="275">
        <f t="shared" ca="1" si="7"/>
        <v>0.21951219512195122</v>
      </c>
      <c r="AB13" s="275"/>
      <c r="AC13" s="215">
        <f ca="1">Credit_2010Q4!$AD10</f>
        <v>6</v>
      </c>
      <c r="AD13" s="275">
        <f t="shared" ca="1" si="8"/>
        <v>0.17142857142857143</v>
      </c>
      <c r="AE13" s="275"/>
      <c r="AF13" s="215">
        <f ca="1">Credit_2011Q4!$AD10</f>
        <v>7</v>
      </c>
      <c r="AG13" s="275">
        <f t="shared" ca="1" si="9"/>
        <v>0.1891891891891892</v>
      </c>
      <c r="AH13" s="275"/>
      <c r="AI13" s="215">
        <f t="shared" ca="1" si="10"/>
        <v>5</v>
      </c>
      <c r="AJ13" s="275">
        <f t="shared" ca="1" si="11"/>
        <v>0.1388888888888889</v>
      </c>
      <c r="AK13" s="275"/>
      <c r="AL13" s="215">
        <f t="shared" ca="1" si="12"/>
        <v>6</v>
      </c>
      <c r="AM13" s="275">
        <f t="shared" ca="1" si="13"/>
        <v>0.17142857142857143</v>
      </c>
      <c r="AN13" s="275"/>
      <c r="AO13" s="215">
        <f t="shared" ca="1" si="33"/>
        <v>12</v>
      </c>
      <c r="AP13" s="275">
        <f t="shared" ca="1" si="14"/>
        <v>0.31578947368421051</v>
      </c>
      <c r="AQ13" s="275"/>
      <c r="AR13" s="215">
        <f t="shared" ca="1" si="15"/>
        <v>12</v>
      </c>
      <c r="AS13" s="275">
        <f t="shared" ca="1" si="16"/>
        <v>0.33333333333333331</v>
      </c>
      <c r="AT13" s="275"/>
      <c r="AU13" s="215">
        <f t="shared" ca="1" si="17"/>
        <v>13</v>
      </c>
      <c r="AV13" s="275">
        <f t="shared" ca="1" si="18"/>
        <v>0.3611111111111111</v>
      </c>
      <c r="AW13" s="275"/>
      <c r="AX13" s="215">
        <f t="shared" ca="1" si="19"/>
        <v>10</v>
      </c>
      <c r="AY13" s="275">
        <f t="shared" ca="1" si="20"/>
        <v>0.2857142857142857</v>
      </c>
      <c r="AZ13" s="275"/>
      <c r="BA13" s="215">
        <f t="shared" ca="1" si="34"/>
        <v>11</v>
      </c>
      <c r="BB13" s="275">
        <f t="shared" ca="1" si="21"/>
        <v>0.3235294117647059</v>
      </c>
      <c r="BC13" s="275"/>
      <c r="BD13" s="215">
        <f t="shared" ca="1" si="22"/>
        <v>11</v>
      </c>
      <c r="BE13" s="275">
        <f t="shared" ca="1" si="23"/>
        <v>0.31428571428571428</v>
      </c>
      <c r="BF13" s="275"/>
      <c r="BG13" s="215">
        <f t="shared" ca="1" si="24"/>
        <v>10</v>
      </c>
      <c r="BH13" s="275">
        <f t="shared" ca="1" si="25"/>
        <v>0.29411764705882354</v>
      </c>
      <c r="BI13" s="275"/>
      <c r="BJ13" s="215">
        <f t="shared" ca="1" si="26"/>
        <v>14</v>
      </c>
      <c r="BK13" s="275">
        <f t="shared" ca="1" si="27"/>
        <v>0.4</v>
      </c>
      <c r="BL13" s="275"/>
      <c r="BM13" s="287">
        <f t="shared" ca="1" si="28"/>
        <v>15</v>
      </c>
      <c r="BN13" s="293">
        <f t="shared" ca="1" si="29"/>
        <v>0.41666666666666669</v>
      </c>
      <c r="BQ13" s="187">
        <f ca="1">BQ12+1</f>
        <v>10</v>
      </c>
      <c r="BR13" s="185" t="str">
        <f t="shared" ref="BR13:BR16" ca="1" si="35">BR12</f>
        <v>o</v>
      </c>
      <c r="BS13" s="187" t="str">
        <f t="shared" ca="1" si="30"/>
        <v>'Credit_2012Q4'!o</v>
      </c>
      <c r="BU13" s="187" t="str">
        <f t="shared" ca="1" si="31"/>
        <v>'Credit_2013Q4'!o</v>
      </c>
      <c r="BW13" s="187" t="str">
        <f t="shared" ca="1" si="32"/>
        <v>'Credit_2014Q4'!o</v>
      </c>
      <c r="BY13" s="187" t="str">
        <f t="shared" ca="1" si="32"/>
        <v>'Credit_2015Q4'!o</v>
      </c>
      <c r="CA13" s="187" t="str">
        <f t="shared" ca="1" si="32"/>
        <v>'Credit_2016Q4'!o</v>
      </c>
      <c r="CC13" s="187" t="str">
        <f t="shared" ca="1" si="32"/>
        <v>'Credit_2017Q4'!o</v>
      </c>
      <c r="CE13" s="187" t="str">
        <f t="shared" ca="1" si="32"/>
        <v>'Credit_2018Q4'!o</v>
      </c>
      <c r="CG13" s="187" t="str">
        <f t="shared" ca="1" si="32"/>
        <v>'Credit_2019Q4'!o</v>
      </c>
      <c r="CI13" s="187" t="str">
        <f t="shared" ca="1" si="32"/>
        <v>'Credit_2020Q4'!o</v>
      </c>
      <c r="CK13" s="187" t="str">
        <f t="shared" ca="1" si="32"/>
        <v>'Credit_2021Q4'!o</v>
      </c>
      <c r="CM13" s="187" t="str">
        <f t="shared" ca="1" si="32"/>
        <v>'Credit_2022Q2'!o</v>
      </c>
    </row>
    <row r="14" spans="3:91" x14ac:dyDescent="0.25">
      <c r="C14" s="263"/>
      <c r="D14" s="263" t="s">
        <v>146</v>
      </c>
      <c r="E14" s="215">
        <v>6</v>
      </c>
      <c r="F14" s="275">
        <f t="shared" ca="1" si="0"/>
        <v>0.1875</v>
      </c>
      <c r="G14" s="264"/>
      <c r="H14" s="215">
        <v>6</v>
      </c>
      <c r="I14" s="275">
        <f t="shared" ca="1" si="1"/>
        <v>0.16666666666666666</v>
      </c>
      <c r="J14" s="264"/>
      <c r="K14" s="215">
        <v>8</v>
      </c>
      <c r="L14" s="275">
        <f t="shared" ca="1" si="2"/>
        <v>0.22222222222222221</v>
      </c>
      <c r="M14" s="264"/>
      <c r="N14" s="215">
        <v>9</v>
      </c>
      <c r="O14" s="275">
        <f t="shared" ca="1" si="3"/>
        <v>0.25</v>
      </c>
      <c r="P14" s="275"/>
      <c r="Q14" s="215">
        <v>9</v>
      </c>
      <c r="R14" s="275">
        <f t="shared" ca="1" si="4"/>
        <v>0.28125</v>
      </c>
      <c r="S14" s="275"/>
      <c r="T14" s="215">
        <v>8</v>
      </c>
      <c r="U14" s="275">
        <f t="shared" ca="1" si="5"/>
        <v>0.21052631578947367</v>
      </c>
      <c r="V14" s="275"/>
      <c r="W14" s="215">
        <v>9</v>
      </c>
      <c r="X14" s="275">
        <f t="shared" ca="1" si="6"/>
        <v>0.23076923076923078</v>
      </c>
      <c r="Y14" s="275"/>
      <c r="Z14" s="215">
        <v>11</v>
      </c>
      <c r="AA14" s="275">
        <f t="shared" ca="1" si="7"/>
        <v>0.26829268292682928</v>
      </c>
      <c r="AB14" s="275"/>
      <c r="AC14" s="215">
        <f ca="1">Credit_2010Q4!$AD11</f>
        <v>11</v>
      </c>
      <c r="AD14" s="275">
        <f t="shared" ca="1" si="8"/>
        <v>0.31428571428571428</v>
      </c>
      <c r="AE14" s="275"/>
      <c r="AF14" s="215">
        <f ca="1">Credit_2011Q4!$AD11</f>
        <v>13</v>
      </c>
      <c r="AG14" s="275">
        <f t="shared" ca="1" si="9"/>
        <v>0.35135135135135137</v>
      </c>
      <c r="AH14" s="275"/>
      <c r="AI14" s="215">
        <f t="shared" ca="1" si="10"/>
        <v>13</v>
      </c>
      <c r="AJ14" s="275">
        <f t="shared" ca="1" si="11"/>
        <v>0.3611111111111111</v>
      </c>
      <c r="AK14" s="275"/>
      <c r="AL14" s="215">
        <f t="shared" ca="1" si="12"/>
        <v>17</v>
      </c>
      <c r="AM14" s="275">
        <f t="shared" ca="1" si="13"/>
        <v>0.48571428571428571</v>
      </c>
      <c r="AN14" s="275"/>
      <c r="AO14" s="215">
        <f t="shared" ca="1" si="33"/>
        <v>14</v>
      </c>
      <c r="AP14" s="275">
        <f t="shared" ca="1" si="14"/>
        <v>0.36842105263157893</v>
      </c>
      <c r="AQ14" s="275"/>
      <c r="AR14" s="215">
        <f t="shared" ca="1" si="15"/>
        <v>12</v>
      </c>
      <c r="AS14" s="275">
        <f t="shared" ca="1" si="16"/>
        <v>0.33333333333333331</v>
      </c>
      <c r="AT14" s="275"/>
      <c r="AU14" s="215">
        <f t="shared" ca="1" si="17"/>
        <v>8</v>
      </c>
      <c r="AV14" s="275">
        <f t="shared" ca="1" si="18"/>
        <v>0.22222222222222221</v>
      </c>
      <c r="AW14" s="275"/>
      <c r="AX14" s="215">
        <f t="shared" ca="1" si="19"/>
        <v>7</v>
      </c>
      <c r="AY14" s="275">
        <f t="shared" ca="1" si="20"/>
        <v>0.2</v>
      </c>
      <c r="AZ14" s="275"/>
      <c r="BA14" s="215">
        <f t="shared" ca="1" si="34"/>
        <v>7</v>
      </c>
      <c r="BB14" s="275">
        <f t="shared" ca="1" si="21"/>
        <v>0.20588235294117646</v>
      </c>
      <c r="BC14" s="275"/>
      <c r="BD14" s="215">
        <f t="shared" ca="1" si="22"/>
        <v>8</v>
      </c>
      <c r="BE14" s="275">
        <f t="shared" ca="1" si="23"/>
        <v>0.22857142857142856</v>
      </c>
      <c r="BF14" s="275"/>
      <c r="BG14" s="215">
        <f t="shared" ca="1" si="24"/>
        <v>7</v>
      </c>
      <c r="BH14" s="275">
        <f t="shared" ca="1" si="25"/>
        <v>0.20588235294117646</v>
      </c>
      <c r="BI14" s="275"/>
      <c r="BJ14" s="215">
        <f t="shared" ca="1" si="26"/>
        <v>7</v>
      </c>
      <c r="BK14" s="275">
        <f t="shared" ca="1" si="27"/>
        <v>0.2</v>
      </c>
      <c r="BL14" s="275"/>
      <c r="BM14" s="287">
        <f t="shared" ca="1" si="28"/>
        <v>7</v>
      </c>
      <c r="BN14" s="293">
        <f t="shared" ca="1" si="29"/>
        <v>0.19444444444444445</v>
      </c>
      <c r="BQ14" s="187">
        <f ca="1">BQ13+1</f>
        <v>11</v>
      </c>
      <c r="BR14" s="185" t="str">
        <f t="shared" ca="1" si="35"/>
        <v>o</v>
      </c>
      <c r="BS14" s="187" t="str">
        <f t="shared" ca="1" si="30"/>
        <v>'Credit_2012Q4'!o</v>
      </c>
      <c r="BU14" s="187" t="str">
        <f t="shared" ca="1" si="31"/>
        <v>'Credit_2013Q4'!o</v>
      </c>
      <c r="BW14" s="187" t="str">
        <f t="shared" ca="1" si="32"/>
        <v>'Credit_2014Q4'!o</v>
      </c>
      <c r="BY14" s="187" t="str">
        <f t="shared" ca="1" si="32"/>
        <v>'Credit_2015Q4'!o</v>
      </c>
      <c r="CA14" s="187" t="str">
        <f t="shared" ca="1" si="32"/>
        <v>'Credit_2016Q4'!o</v>
      </c>
      <c r="CC14" s="187" t="str">
        <f t="shared" ca="1" si="32"/>
        <v>'Credit_2017Q4'!o</v>
      </c>
      <c r="CE14" s="187" t="str">
        <f t="shared" ca="1" si="32"/>
        <v>'Credit_2018Q4'!o</v>
      </c>
      <c r="CG14" s="187" t="str">
        <f t="shared" ca="1" si="32"/>
        <v>'Credit_2019Q4'!o</v>
      </c>
      <c r="CI14" s="187" t="str">
        <f t="shared" ca="1" si="32"/>
        <v>'Credit_2020Q4'!o</v>
      </c>
      <c r="CK14" s="187" t="str">
        <f t="shared" ca="1" si="32"/>
        <v>'Credit_2021Q4'!o</v>
      </c>
      <c r="CM14" s="187" t="str">
        <f t="shared" ca="1" si="32"/>
        <v>'Credit_2022Q2'!o</v>
      </c>
    </row>
    <row r="15" spans="3:91" x14ac:dyDescent="0.25">
      <c r="C15" s="263"/>
      <c r="D15" s="263" t="s">
        <v>147</v>
      </c>
      <c r="E15" s="215">
        <v>4</v>
      </c>
      <c r="F15" s="275">
        <f t="shared" ca="1" si="0"/>
        <v>0.125</v>
      </c>
      <c r="G15" s="264"/>
      <c r="H15" s="215">
        <v>5</v>
      </c>
      <c r="I15" s="275">
        <f t="shared" ca="1" si="1"/>
        <v>0.1388888888888889</v>
      </c>
      <c r="J15" s="264"/>
      <c r="K15" s="215">
        <v>5</v>
      </c>
      <c r="L15" s="275">
        <f t="shared" ca="1" si="2"/>
        <v>0.1388888888888889</v>
      </c>
      <c r="M15" s="264"/>
      <c r="N15" s="215">
        <v>3</v>
      </c>
      <c r="O15" s="275">
        <f t="shared" ca="1" si="3"/>
        <v>8.3333333333333329E-2</v>
      </c>
      <c r="P15" s="275"/>
      <c r="Q15" s="215">
        <v>3</v>
      </c>
      <c r="R15" s="275">
        <f t="shared" ca="1" si="4"/>
        <v>9.375E-2</v>
      </c>
      <c r="S15" s="275"/>
      <c r="T15" s="215">
        <v>7</v>
      </c>
      <c r="U15" s="275">
        <f t="shared" ca="1" si="5"/>
        <v>0.18421052631578946</v>
      </c>
      <c r="V15" s="275"/>
      <c r="W15" s="215">
        <v>9</v>
      </c>
      <c r="X15" s="275">
        <f t="shared" ca="1" si="6"/>
        <v>0.23076923076923078</v>
      </c>
      <c r="Y15" s="275"/>
      <c r="Z15" s="215">
        <v>8</v>
      </c>
      <c r="AA15" s="275">
        <f t="shared" ca="1" si="7"/>
        <v>0.1951219512195122</v>
      </c>
      <c r="AB15" s="275"/>
      <c r="AC15" s="215">
        <f ca="1">Credit_2010Q4!$AD12</f>
        <v>6</v>
      </c>
      <c r="AD15" s="275">
        <f t="shared" ca="1" si="8"/>
        <v>0.17142857142857143</v>
      </c>
      <c r="AE15" s="275"/>
      <c r="AF15" s="215">
        <f ca="1">Credit_2011Q4!$AD12</f>
        <v>5</v>
      </c>
      <c r="AG15" s="275">
        <f t="shared" ca="1" si="9"/>
        <v>0.13513513513513514</v>
      </c>
      <c r="AH15" s="275"/>
      <c r="AI15" s="215">
        <f t="shared" ca="1" si="10"/>
        <v>6</v>
      </c>
      <c r="AJ15" s="275">
        <f t="shared" ca="1" si="11"/>
        <v>0.16666666666666666</v>
      </c>
      <c r="AK15" s="275"/>
      <c r="AL15" s="215">
        <f t="shared" ca="1" si="12"/>
        <v>2</v>
      </c>
      <c r="AM15" s="275">
        <f t="shared" ca="1" si="13"/>
        <v>5.7142857142857141E-2</v>
      </c>
      <c r="AN15" s="275"/>
      <c r="AO15" s="215">
        <f t="shared" ca="1" si="33"/>
        <v>1</v>
      </c>
      <c r="AP15" s="275">
        <f t="shared" ca="1" si="14"/>
        <v>2.6315789473684209E-2</v>
      </c>
      <c r="AQ15" s="275"/>
      <c r="AR15" s="215">
        <f t="shared" ca="1" si="15"/>
        <v>1</v>
      </c>
      <c r="AS15" s="275">
        <f t="shared" ca="1" si="16"/>
        <v>2.7777777777777776E-2</v>
      </c>
      <c r="AT15" s="275"/>
      <c r="AU15" s="215">
        <f t="shared" ca="1" si="17"/>
        <v>3</v>
      </c>
      <c r="AV15" s="275">
        <f t="shared" ca="1" si="18"/>
        <v>8.3333333333333329E-2</v>
      </c>
      <c r="AW15" s="275"/>
      <c r="AX15" s="215">
        <f t="shared" ca="1" si="19"/>
        <v>4</v>
      </c>
      <c r="AY15" s="275">
        <f t="shared" ca="1" si="20"/>
        <v>0.11428571428571428</v>
      </c>
      <c r="AZ15" s="275"/>
      <c r="BA15" s="215">
        <f t="shared" ca="1" si="34"/>
        <v>4</v>
      </c>
      <c r="BB15" s="275">
        <f t="shared" ca="1" si="21"/>
        <v>0.11764705882352941</v>
      </c>
      <c r="BC15" s="275"/>
      <c r="BD15" s="215">
        <f t="shared" ca="1" si="22"/>
        <v>2</v>
      </c>
      <c r="BE15" s="275">
        <f t="shared" ca="1" si="23"/>
        <v>5.7142857142857141E-2</v>
      </c>
      <c r="BF15" s="275"/>
      <c r="BG15" s="215">
        <f t="shared" ca="1" si="24"/>
        <v>2</v>
      </c>
      <c r="BH15" s="275">
        <f t="shared" ca="1" si="25"/>
        <v>5.8823529411764705E-2</v>
      </c>
      <c r="BI15" s="275"/>
      <c r="BJ15" s="215">
        <f t="shared" ca="1" si="26"/>
        <v>3</v>
      </c>
      <c r="BK15" s="275">
        <f t="shared" ca="1" si="27"/>
        <v>8.5714285714285715E-2</v>
      </c>
      <c r="BL15" s="275"/>
      <c r="BM15" s="287">
        <f t="shared" ca="1" si="28"/>
        <v>3</v>
      </c>
      <c r="BN15" s="293">
        <f t="shared" ca="1" si="29"/>
        <v>8.3333333333333329E-2</v>
      </c>
      <c r="BQ15" s="187">
        <f ca="1">BQ14+1</f>
        <v>12</v>
      </c>
      <c r="BR15" s="185" t="str">
        <f t="shared" ca="1" si="35"/>
        <v>o</v>
      </c>
      <c r="BS15" s="187" t="str">
        <f t="shared" ca="1" si="30"/>
        <v>'Credit_2012Q4'!o</v>
      </c>
      <c r="BU15" s="187" t="str">
        <f t="shared" ca="1" si="31"/>
        <v>'Credit_2013Q4'!o</v>
      </c>
      <c r="BW15" s="187" t="str">
        <f t="shared" ca="1" si="32"/>
        <v>'Credit_2014Q4'!o</v>
      </c>
      <c r="BY15" s="187" t="str">
        <f t="shared" ca="1" si="32"/>
        <v>'Credit_2015Q4'!o</v>
      </c>
      <c r="CA15" s="187" t="str">
        <f t="shared" ca="1" si="32"/>
        <v>'Credit_2016Q4'!o</v>
      </c>
      <c r="CC15" s="187" t="str">
        <f t="shared" ca="1" si="32"/>
        <v>'Credit_2017Q4'!o</v>
      </c>
      <c r="CE15" s="187" t="str">
        <f t="shared" ca="1" si="32"/>
        <v>'Credit_2018Q4'!o</v>
      </c>
      <c r="CG15" s="187" t="str">
        <f t="shared" ca="1" si="32"/>
        <v>'Credit_2019Q4'!o</v>
      </c>
      <c r="CI15" s="187" t="str">
        <f t="shared" ca="1" si="32"/>
        <v>'Credit_2020Q4'!o</v>
      </c>
      <c r="CK15" s="187" t="str">
        <f t="shared" ca="1" si="32"/>
        <v>'Credit_2021Q4'!o</v>
      </c>
      <c r="CM15" s="187" t="str">
        <f t="shared" ca="1" si="32"/>
        <v>'Credit_2022Q2'!o</v>
      </c>
    </row>
    <row r="16" spans="3:91" x14ac:dyDescent="0.25">
      <c r="C16" s="265"/>
      <c r="D16" s="265" t="s">
        <v>148</v>
      </c>
      <c r="E16" s="217">
        <v>6</v>
      </c>
      <c r="F16" s="276">
        <f t="shared" ca="1" si="0"/>
        <v>0.1875</v>
      </c>
      <c r="G16" s="266"/>
      <c r="H16" s="217">
        <v>8</v>
      </c>
      <c r="I16" s="276">
        <f t="shared" ca="1" si="1"/>
        <v>0.22222222222222221</v>
      </c>
      <c r="J16" s="267"/>
      <c r="K16" s="217">
        <v>5</v>
      </c>
      <c r="L16" s="276">
        <f t="shared" ca="1" si="2"/>
        <v>0.1388888888888889</v>
      </c>
      <c r="M16" s="266"/>
      <c r="N16" s="217">
        <v>6</v>
      </c>
      <c r="O16" s="276">
        <f t="shared" ca="1" si="3"/>
        <v>0.16666666666666666</v>
      </c>
      <c r="P16" s="276"/>
      <c r="Q16" s="217">
        <v>6</v>
      </c>
      <c r="R16" s="276">
        <f t="shared" ca="1" si="4"/>
        <v>0.1875</v>
      </c>
      <c r="S16" s="276"/>
      <c r="T16" s="217">
        <v>6</v>
      </c>
      <c r="U16" s="276">
        <f t="shared" ca="1" si="5"/>
        <v>0.15789473684210525</v>
      </c>
      <c r="V16" s="276"/>
      <c r="W16" s="217">
        <v>5</v>
      </c>
      <c r="X16" s="276">
        <f t="shared" ca="1" si="6"/>
        <v>0.12820512820512819</v>
      </c>
      <c r="Y16" s="276"/>
      <c r="Z16" s="217">
        <v>4</v>
      </c>
      <c r="AA16" s="276">
        <f t="shared" ca="1" si="7"/>
        <v>9.7560975609756101E-2</v>
      </c>
      <c r="AB16" s="276"/>
      <c r="AC16" s="217">
        <f ca="1">Credit_2010Q4!$AD13</f>
        <v>4</v>
      </c>
      <c r="AD16" s="276">
        <f t="shared" ca="1" si="8"/>
        <v>0.11428571428571428</v>
      </c>
      <c r="AE16" s="276"/>
      <c r="AF16" s="217">
        <f ca="1">Credit_2011Q4!$AD13</f>
        <v>4</v>
      </c>
      <c r="AG16" s="276">
        <f t="shared" ca="1" si="9"/>
        <v>0.10810810810810811</v>
      </c>
      <c r="AH16" s="276"/>
      <c r="AI16" s="217">
        <f t="shared" ca="1" si="10"/>
        <v>4</v>
      </c>
      <c r="AJ16" s="276">
        <f t="shared" ca="1" si="11"/>
        <v>0.1111111111111111</v>
      </c>
      <c r="AK16" s="276"/>
      <c r="AL16" s="217">
        <f t="shared" ca="1" si="12"/>
        <v>2</v>
      </c>
      <c r="AM16" s="276">
        <f t="shared" ca="1" si="13"/>
        <v>5.7142857142857141E-2</v>
      </c>
      <c r="AN16" s="276"/>
      <c r="AO16" s="217">
        <f t="shared" ca="1" si="33"/>
        <v>2</v>
      </c>
      <c r="AP16" s="276">
        <f t="shared" ca="1" si="14"/>
        <v>5.2631578947368418E-2</v>
      </c>
      <c r="AQ16" s="276"/>
      <c r="AR16" s="217">
        <f t="shared" ca="1" si="15"/>
        <v>2</v>
      </c>
      <c r="AS16" s="276">
        <f t="shared" ca="1" si="16"/>
        <v>5.5555555555555552E-2</v>
      </c>
      <c r="AT16" s="276"/>
      <c r="AU16" s="217">
        <f t="shared" ca="1" si="17"/>
        <v>0</v>
      </c>
      <c r="AV16" s="276">
        <f t="shared" ca="1" si="18"/>
        <v>0</v>
      </c>
      <c r="AW16" s="276"/>
      <c r="AX16" s="217">
        <f t="shared" ca="1" si="19"/>
        <v>0</v>
      </c>
      <c r="AY16" s="276">
        <f t="shared" ca="1" si="20"/>
        <v>0</v>
      </c>
      <c r="AZ16" s="276"/>
      <c r="BA16" s="217">
        <f t="shared" ca="1" si="34"/>
        <v>0</v>
      </c>
      <c r="BB16" s="276">
        <f t="shared" ca="1" si="21"/>
        <v>0</v>
      </c>
      <c r="BC16" s="276"/>
      <c r="BD16" s="217">
        <f t="shared" ca="1" si="22"/>
        <v>2</v>
      </c>
      <c r="BE16" s="276">
        <f t="shared" ca="1" si="23"/>
        <v>5.7142857142857141E-2</v>
      </c>
      <c r="BF16" s="276"/>
      <c r="BG16" s="217">
        <f t="shared" ca="1" si="24"/>
        <v>3</v>
      </c>
      <c r="BH16" s="276">
        <f t="shared" ca="1" si="25"/>
        <v>8.8235294117647065E-2</v>
      </c>
      <c r="BI16" s="276"/>
      <c r="BJ16" s="217">
        <f t="shared" ca="1" si="26"/>
        <v>2</v>
      </c>
      <c r="BK16" s="276">
        <f t="shared" ca="1" si="27"/>
        <v>5.7142857142857141E-2</v>
      </c>
      <c r="BL16" s="276"/>
      <c r="BM16" s="288">
        <f t="shared" ca="1" si="28"/>
        <v>2</v>
      </c>
      <c r="BN16" s="294">
        <f t="shared" ca="1" si="29"/>
        <v>5.5555555555555552E-2</v>
      </c>
      <c r="BQ16" s="187">
        <f ca="1">BQ15+1</f>
        <v>13</v>
      </c>
      <c r="BR16" s="185" t="str">
        <f t="shared" ca="1" si="35"/>
        <v>o</v>
      </c>
      <c r="BS16" s="187" t="str">
        <f t="shared" ca="1" si="30"/>
        <v>'Credit_2012Q4'!o</v>
      </c>
      <c r="BU16" s="187" t="str">
        <f t="shared" ca="1" si="31"/>
        <v>'Credit_2013Q4'!o</v>
      </c>
      <c r="BW16" s="187" t="str">
        <f t="shared" ca="1" si="32"/>
        <v>'Credit_2014Q4'!o</v>
      </c>
      <c r="BY16" s="187" t="str">
        <f t="shared" ca="1" si="32"/>
        <v>'Credit_2015Q4'!o</v>
      </c>
      <c r="CA16" s="187" t="str">
        <f t="shared" ca="1" si="32"/>
        <v>'Credit_2016Q4'!o</v>
      </c>
      <c r="CC16" s="187" t="str">
        <f t="shared" ca="1" si="32"/>
        <v>'Credit_2017Q4'!o</v>
      </c>
      <c r="CE16" s="187" t="str">
        <f t="shared" ca="1" si="32"/>
        <v>'Credit_2018Q4'!o</v>
      </c>
      <c r="CG16" s="187" t="str">
        <f t="shared" ca="1" si="32"/>
        <v>'Credit_2019Q4'!o</v>
      </c>
      <c r="CI16" s="187" t="str">
        <f t="shared" ca="1" si="32"/>
        <v>'Credit_2020Q4'!o</v>
      </c>
      <c r="CK16" s="187" t="str">
        <f t="shared" ca="1" si="32"/>
        <v>'Credit_2021Q4'!o</v>
      </c>
      <c r="CM16" s="187" t="str">
        <f t="shared" ca="1" si="32"/>
        <v>'Credit_2022Q2'!o</v>
      </c>
    </row>
    <row r="17" spans="3:91" x14ac:dyDescent="0.25">
      <c r="C17" s="268"/>
      <c r="D17" s="268" t="s">
        <v>149</v>
      </c>
      <c r="E17" s="211">
        <f t="shared" ref="E17:AA17" ca="1" si="36">SUM(E11:E16)</f>
        <v>32</v>
      </c>
      <c r="F17" s="277">
        <f t="shared" ca="1" si="36"/>
        <v>1</v>
      </c>
      <c r="G17" s="269"/>
      <c r="H17" s="211">
        <f t="shared" ca="1" si="36"/>
        <v>36</v>
      </c>
      <c r="I17" s="277">
        <f t="shared" ca="1" si="36"/>
        <v>0.99999999999999989</v>
      </c>
      <c r="J17" s="269"/>
      <c r="K17" s="211">
        <f t="shared" ca="1" si="36"/>
        <v>36</v>
      </c>
      <c r="L17" s="277">
        <f t="shared" ca="1" si="36"/>
        <v>1</v>
      </c>
      <c r="M17" s="269"/>
      <c r="N17" s="211">
        <f ca="1">SUM(N11:N16)</f>
        <v>36</v>
      </c>
      <c r="O17" s="277">
        <f ca="1">SUM(O11:O16)</f>
        <v>1</v>
      </c>
      <c r="P17" s="277"/>
      <c r="Q17" s="211">
        <f ca="1">SUM(Q11:Q16)</f>
        <v>32</v>
      </c>
      <c r="R17" s="277">
        <f t="shared" ca="1" si="36"/>
        <v>1</v>
      </c>
      <c r="S17" s="277"/>
      <c r="T17" s="211">
        <f ca="1">SUM(T11:T16)</f>
        <v>38</v>
      </c>
      <c r="U17" s="277">
        <f t="shared" ca="1" si="36"/>
        <v>1</v>
      </c>
      <c r="V17" s="277"/>
      <c r="W17" s="211">
        <f ca="1">SUM(W11:W16)</f>
        <v>39</v>
      </c>
      <c r="X17" s="277">
        <f t="shared" ca="1" si="36"/>
        <v>1</v>
      </c>
      <c r="Y17" s="277"/>
      <c r="Z17" s="211">
        <f ca="1">SUM(Z11:Z16)</f>
        <v>41</v>
      </c>
      <c r="AA17" s="277">
        <f t="shared" ca="1" si="36"/>
        <v>0.99999999999999989</v>
      </c>
      <c r="AB17" s="277"/>
      <c r="AC17" s="211">
        <f t="shared" ref="AC17:AF17" ca="1" si="37">SUM(AC11:AC16)</f>
        <v>35</v>
      </c>
      <c r="AD17" s="277">
        <f t="shared" ca="1" si="37"/>
        <v>1</v>
      </c>
      <c r="AE17" s="277"/>
      <c r="AF17" s="211">
        <f t="shared" ca="1" si="37"/>
        <v>37</v>
      </c>
      <c r="AG17" s="277">
        <f t="shared" ref="AG17" ca="1" si="38">SUM(AG11:AG16)</f>
        <v>1</v>
      </c>
      <c r="AH17" s="277"/>
      <c r="AI17" s="211">
        <f ca="1">SUM(AI11:AI16)</f>
        <v>36</v>
      </c>
      <c r="AJ17" s="277">
        <f t="shared" ref="AJ17" ca="1" si="39">SUM(AJ11:AJ16)</f>
        <v>1</v>
      </c>
      <c r="AK17" s="277"/>
      <c r="AL17" s="211">
        <f ca="1">SUM(AL11:AL16)</f>
        <v>35</v>
      </c>
      <c r="AM17" s="277">
        <f ca="1">SUM(AM11:AM16)</f>
        <v>1</v>
      </c>
      <c r="AN17" s="277"/>
      <c r="AO17" s="211">
        <f ca="1">SUM(AO11:AO16)</f>
        <v>38</v>
      </c>
      <c r="AP17" s="277">
        <f ca="1">SUM(AP11:AP16)</f>
        <v>1</v>
      </c>
      <c r="AQ17" s="277"/>
      <c r="AR17" s="211">
        <f ca="1">SUM(AR11:AR16)</f>
        <v>36</v>
      </c>
      <c r="AS17" s="277">
        <f ca="1">SUM(AS11:AS16)</f>
        <v>0.99999999999999989</v>
      </c>
      <c r="AT17" s="277"/>
      <c r="AU17" s="211">
        <f ca="1">SUM(AU11:AU16)</f>
        <v>36</v>
      </c>
      <c r="AV17" s="277">
        <f ca="1">SUM(AV11:AV16)</f>
        <v>1</v>
      </c>
      <c r="AW17" s="277"/>
      <c r="AX17" s="211">
        <f ca="1">SUM(AX11:AX16)</f>
        <v>35</v>
      </c>
      <c r="AY17" s="277">
        <f ca="1">SUM(AY11:AY16)</f>
        <v>1</v>
      </c>
      <c r="AZ17" s="277"/>
      <c r="BA17" s="211">
        <f ca="1">SUM(BA11:BA16)</f>
        <v>34</v>
      </c>
      <c r="BB17" s="277">
        <f ca="1">SUM(BB11:BB16)</f>
        <v>1</v>
      </c>
      <c r="BC17" s="277"/>
      <c r="BD17" s="211">
        <f ca="1">SUM(BD11:BD16)</f>
        <v>35</v>
      </c>
      <c r="BE17" s="277">
        <f ca="1">SUM(BE11:BE16)</f>
        <v>1</v>
      </c>
      <c r="BF17" s="277"/>
      <c r="BG17" s="211">
        <f ca="1">SUM(BG11:BG16)</f>
        <v>34</v>
      </c>
      <c r="BH17" s="277">
        <f ca="1">SUM(BH11:BH16)</f>
        <v>1</v>
      </c>
      <c r="BI17" s="277"/>
      <c r="BJ17" s="211">
        <f ca="1">SUM(BJ11:BJ16)</f>
        <v>35</v>
      </c>
      <c r="BK17" s="277">
        <f ca="1">SUM(BK11:BK16)</f>
        <v>1</v>
      </c>
      <c r="BL17" s="277"/>
      <c r="BM17" s="289">
        <f ca="1">SUM(BM11:BM16)</f>
        <v>36</v>
      </c>
      <c r="BN17" s="295">
        <f ca="1">SUM(BN11:BN16)</f>
        <v>1</v>
      </c>
    </row>
    <row r="18" spans="3:91" x14ac:dyDescent="0.25">
      <c r="C18" s="195"/>
      <c r="D18" s="195"/>
      <c r="E18" s="185"/>
      <c r="F18" s="278"/>
      <c r="G18" s="270"/>
      <c r="H18" s="185"/>
      <c r="I18" s="278"/>
      <c r="J18" s="270"/>
      <c r="K18" s="185"/>
      <c r="L18" s="278"/>
      <c r="M18" s="270"/>
      <c r="N18" s="185"/>
      <c r="O18" s="278"/>
      <c r="P18" s="278"/>
      <c r="Q18" s="185"/>
      <c r="R18" s="278"/>
      <c r="S18" s="278"/>
      <c r="T18" s="185"/>
      <c r="U18" s="278"/>
      <c r="V18" s="278"/>
      <c r="W18" s="185"/>
      <c r="X18" s="278"/>
      <c r="Y18" s="278"/>
      <c r="Z18" s="185"/>
      <c r="AA18" s="278"/>
      <c r="AB18" s="278"/>
      <c r="AC18" s="185"/>
      <c r="AD18" s="278"/>
      <c r="AE18" s="278"/>
      <c r="AF18" s="185"/>
      <c r="AG18" s="278"/>
      <c r="AH18" s="278"/>
      <c r="AI18" s="185"/>
      <c r="AJ18" s="278"/>
      <c r="AK18" s="278"/>
      <c r="AL18" s="185"/>
      <c r="AM18" s="278"/>
      <c r="AN18" s="278"/>
      <c r="AO18" s="185"/>
      <c r="AP18" s="278"/>
      <c r="AQ18" s="278"/>
      <c r="AR18" s="185"/>
      <c r="AS18" s="278"/>
      <c r="AT18" s="278"/>
      <c r="AU18" s="185"/>
      <c r="AV18" s="278"/>
      <c r="AW18" s="278"/>
      <c r="AX18" s="185"/>
      <c r="AY18" s="278"/>
      <c r="AZ18" s="278"/>
      <c r="BA18" s="185"/>
      <c r="BB18" s="278"/>
      <c r="BC18" s="278"/>
      <c r="BD18" s="185"/>
      <c r="BE18" s="278"/>
      <c r="BF18" s="278"/>
      <c r="BG18" s="185"/>
      <c r="BH18" s="278"/>
      <c r="BI18" s="278"/>
      <c r="BJ18" s="185"/>
      <c r="BK18" s="278"/>
      <c r="BL18" s="278"/>
      <c r="BM18" s="280"/>
      <c r="BN18" s="296"/>
    </row>
    <row r="19" spans="3:91" x14ac:dyDescent="0.25">
      <c r="C19" s="195"/>
      <c r="D19" s="195"/>
      <c r="E19" s="185"/>
      <c r="F19" s="278"/>
      <c r="G19" s="270"/>
      <c r="H19" s="185"/>
      <c r="I19" s="278"/>
      <c r="J19" s="270"/>
      <c r="K19" s="185"/>
      <c r="L19" s="278"/>
      <c r="M19" s="270"/>
      <c r="N19" s="185"/>
      <c r="O19" s="278"/>
      <c r="P19" s="278"/>
      <c r="Q19" s="185"/>
      <c r="R19" s="278"/>
      <c r="S19" s="278"/>
      <c r="T19" s="185"/>
      <c r="U19" s="278"/>
      <c r="V19" s="278"/>
      <c r="W19" s="185"/>
      <c r="X19" s="278"/>
      <c r="Y19" s="278"/>
      <c r="Z19" s="185"/>
      <c r="AA19" s="278"/>
      <c r="AB19" s="278"/>
      <c r="AC19" s="185"/>
      <c r="AD19" s="278"/>
      <c r="AE19" s="278"/>
      <c r="AF19" s="185"/>
      <c r="AG19" s="278"/>
      <c r="AH19" s="278"/>
      <c r="AI19" s="185"/>
      <c r="AJ19" s="278"/>
      <c r="AK19" s="278"/>
      <c r="AL19" s="185"/>
      <c r="AM19" s="278"/>
      <c r="AN19" s="278"/>
      <c r="AO19" s="185"/>
      <c r="AP19" s="278"/>
      <c r="AQ19" s="278"/>
      <c r="AR19" s="185"/>
      <c r="AS19" s="278"/>
      <c r="AT19" s="278"/>
      <c r="AU19" s="185"/>
      <c r="AV19" s="278"/>
      <c r="AW19" s="278"/>
      <c r="AX19" s="185"/>
      <c r="AY19" s="278"/>
      <c r="AZ19" s="278"/>
      <c r="BA19" s="185"/>
      <c r="BB19" s="278"/>
      <c r="BC19" s="278"/>
      <c r="BD19" s="185"/>
      <c r="BE19" s="278"/>
      <c r="BF19" s="278"/>
      <c r="BG19" s="185"/>
      <c r="BH19" s="278"/>
      <c r="BI19" s="278"/>
      <c r="BJ19" s="185"/>
      <c r="BK19" s="278"/>
      <c r="BL19" s="278"/>
      <c r="BM19" s="280"/>
      <c r="BN19" s="296"/>
    </row>
    <row r="20" spans="3:91" x14ac:dyDescent="0.25">
      <c r="C20" s="257"/>
      <c r="D20" s="257" t="s">
        <v>150</v>
      </c>
      <c r="E20" s="283"/>
      <c r="F20" s="279"/>
      <c r="G20" s="271"/>
      <c r="H20" s="283"/>
      <c r="I20" s="279"/>
      <c r="J20" s="271"/>
      <c r="K20" s="283"/>
      <c r="L20" s="279"/>
      <c r="M20" s="271"/>
      <c r="N20" s="283"/>
      <c r="O20" s="279"/>
      <c r="P20" s="279"/>
      <c r="Q20" s="283"/>
      <c r="R20" s="279"/>
      <c r="S20" s="279"/>
      <c r="T20" s="283"/>
      <c r="U20" s="279"/>
      <c r="V20" s="279"/>
      <c r="W20" s="284"/>
      <c r="X20" s="290"/>
      <c r="Y20" s="279"/>
      <c r="Z20" s="284"/>
      <c r="AA20" s="290"/>
      <c r="AB20" s="279"/>
      <c r="AC20" s="284"/>
      <c r="AD20" s="290"/>
      <c r="AE20" s="279"/>
      <c r="AF20" s="284"/>
      <c r="AG20" s="290"/>
      <c r="AH20" s="279"/>
      <c r="AI20" s="284"/>
      <c r="AJ20" s="290"/>
      <c r="AK20" s="279"/>
      <c r="AL20" s="284"/>
      <c r="AM20" s="290"/>
      <c r="AN20" s="279"/>
      <c r="AO20" s="284"/>
      <c r="AP20" s="290"/>
      <c r="AQ20" s="279"/>
      <c r="AR20" s="284"/>
      <c r="AS20" s="290"/>
      <c r="AT20" s="279"/>
      <c r="AU20" s="284"/>
      <c r="AV20" s="290"/>
      <c r="AW20" s="279"/>
      <c r="AX20" s="284"/>
      <c r="AY20" s="290"/>
      <c r="AZ20" s="279"/>
      <c r="BA20" s="284"/>
      <c r="BB20" s="290"/>
      <c r="BC20" s="279"/>
      <c r="BD20" s="284"/>
      <c r="BE20" s="290"/>
      <c r="BF20" s="290"/>
      <c r="BG20" s="284"/>
      <c r="BH20" s="290"/>
      <c r="BI20" s="290"/>
      <c r="BJ20" s="290"/>
      <c r="BK20" s="290"/>
      <c r="BL20" s="290"/>
      <c r="BM20" s="285"/>
      <c r="BN20" s="297"/>
    </row>
    <row r="21" spans="3:91" x14ac:dyDescent="0.25">
      <c r="C21" s="259"/>
      <c r="D21" s="259" t="s">
        <v>142</v>
      </c>
      <c r="E21" s="213">
        <v>5</v>
      </c>
      <c r="F21" s="274">
        <v>0.20833333333333334</v>
      </c>
      <c r="G21" s="260"/>
      <c r="H21" s="213">
        <v>3</v>
      </c>
      <c r="I21" s="274">
        <v>0.15</v>
      </c>
      <c r="J21" s="260"/>
      <c r="K21" s="213">
        <v>2</v>
      </c>
      <c r="L21" s="274">
        <v>8.6956521739130432E-2</v>
      </c>
      <c r="M21" s="260"/>
      <c r="N21" s="213">
        <v>2</v>
      </c>
      <c r="O21" s="274">
        <f t="shared" ref="O21:O26" ca="1" si="40">N21/$N$27</f>
        <v>9.0909090909090912E-2</v>
      </c>
      <c r="P21" s="274"/>
      <c r="Q21" s="213">
        <v>1</v>
      </c>
      <c r="R21" s="274">
        <f t="shared" ref="R21:R26" ca="1" si="41">Q21/$Q$27</f>
        <v>4.3478260869565216E-2</v>
      </c>
      <c r="S21" s="274"/>
      <c r="T21" s="213">
        <v>1</v>
      </c>
      <c r="U21" s="274">
        <f t="shared" ref="U21:U26" ca="1" si="42">T21/$T$27</f>
        <v>5.2631578947368418E-2</v>
      </c>
      <c r="V21" s="274"/>
      <c r="W21" s="213">
        <v>1</v>
      </c>
      <c r="X21" s="274">
        <f t="shared" ref="X21:X26" ca="1" si="43">W21/$W$27</f>
        <v>5.2631578947368418E-2</v>
      </c>
      <c r="Y21" s="274"/>
      <c r="Z21" s="213">
        <v>2</v>
      </c>
      <c r="AA21" s="274">
        <f t="shared" ref="AA21:AA26" ca="1" si="44">Z21/Z$27</f>
        <v>0.10526315789473684</v>
      </c>
      <c r="AB21" s="274"/>
      <c r="AC21" s="213">
        <f ca="1">Credit_2010Q4!$AD19</f>
        <v>1</v>
      </c>
      <c r="AD21" s="274">
        <f t="shared" ref="AD21:AD26" ca="1" si="45">AC21/AC$27</f>
        <v>0.05</v>
      </c>
      <c r="AE21" s="274"/>
      <c r="AF21" s="213">
        <f ca="1">Credit_2011Q4!$AD19</f>
        <v>1</v>
      </c>
      <c r="AG21" s="274">
        <f t="shared" ref="AG21:AG26" ca="1" si="46">AF21/AF$27</f>
        <v>5.2631578947368418E-2</v>
      </c>
      <c r="AH21" s="274"/>
      <c r="AI21" s="213">
        <f t="shared" ref="AI21:AI26" ca="1" si="47">INDIRECT( BS21 &amp; $BQ21 )</f>
        <v>1</v>
      </c>
      <c r="AJ21" s="274">
        <f t="shared" ref="AJ21:AJ26" ca="1" si="48">AI21/AI$27</f>
        <v>5.8823529411764705E-2</v>
      </c>
      <c r="AK21" s="274"/>
      <c r="AL21" s="213">
        <f t="shared" ref="AL21:AL26" ca="1" si="49">INDIRECT( BU21 &amp; $BQ21 )</f>
        <v>1</v>
      </c>
      <c r="AM21" s="274">
        <f t="shared" ref="AM21:AM26" ca="1" si="50">AL21/AL$27</f>
        <v>5.8823529411764705E-2</v>
      </c>
      <c r="AN21" s="274"/>
      <c r="AO21" s="213">
        <f ca="1">INDIRECT( BW21 &amp; $BQ21 )</f>
        <v>1</v>
      </c>
      <c r="AP21" s="274">
        <f t="shared" ref="AP21:AP26" ca="1" si="51">AO21/AO$27</f>
        <v>7.6923076923076927E-2</v>
      </c>
      <c r="AQ21" s="274"/>
      <c r="AR21" s="213">
        <f t="shared" ref="AR21:AR26" ca="1" si="52">INDIRECT( BY21 &amp; $BQ21 )</f>
        <v>1</v>
      </c>
      <c r="AS21" s="274">
        <f t="shared" ref="AS21:AS26" ca="1" si="53">AR21/AR$27</f>
        <v>7.6923076923076927E-2</v>
      </c>
      <c r="AT21" s="274"/>
      <c r="AU21" s="213">
        <f t="shared" ref="AU21:AU26" ca="1" si="54">INDIRECT( CA21 &amp; $BQ21 )</f>
        <v>1</v>
      </c>
      <c r="AV21" s="274">
        <f t="shared" ref="AV21:AV26" ca="1" si="55">AU21/AU$27</f>
        <v>8.3333333333333329E-2</v>
      </c>
      <c r="AW21" s="274"/>
      <c r="AX21" s="213">
        <f t="shared" ref="AX21:AX26" ca="1" si="56">INDIRECT( CC21 &amp; $BQ21 )</f>
        <v>1</v>
      </c>
      <c r="AY21" s="274">
        <f t="shared" ref="AY21:AY26" ca="1" si="57">AX21/AX$27</f>
        <v>7.1428571428571425E-2</v>
      </c>
      <c r="AZ21" s="274"/>
      <c r="BA21" s="213">
        <f t="shared" ca="1" si="34"/>
        <v>2</v>
      </c>
      <c r="BB21" s="274">
        <f t="shared" ref="BB21:BB26" ca="1" si="58">BA21/BA$27</f>
        <v>0.15384615384615385</v>
      </c>
      <c r="BC21" s="274"/>
      <c r="BD21" s="213">
        <f t="shared" ref="BD21:BD26" ca="1" si="59">INDIRECT( CG21 &amp; $BQ21 )</f>
        <v>1</v>
      </c>
      <c r="BE21" s="274">
        <f t="shared" ref="BE21:BE26" ca="1" si="60">BD21/BD$27</f>
        <v>0.1</v>
      </c>
      <c r="BF21" s="274"/>
      <c r="BG21" s="213">
        <f t="shared" ref="BG21:BG26" ca="1" si="61">INDIRECT( CI21 &amp; $BQ21 )</f>
        <v>1</v>
      </c>
      <c r="BH21" s="274">
        <f t="shared" ref="BH21:BH26" ca="1" si="62">BG21/BG$27</f>
        <v>0.1</v>
      </c>
      <c r="BI21" s="274"/>
      <c r="BJ21" s="213">
        <f t="shared" ref="BJ21:BJ26" ca="1" si="63">INDIRECT( CK21 &amp; $BQ21 )</f>
        <v>1</v>
      </c>
      <c r="BK21" s="274">
        <f t="shared" ref="BK21:BK26" ca="1" si="64">BJ21/BJ$27</f>
        <v>0.1111111111111111</v>
      </c>
      <c r="BL21" s="274"/>
      <c r="BM21" s="286">
        <f t="shared" ref="BM21:BM26" ca="1" si="65">INDIRECT( CM21 &amp; $BQ21 )</f>
        <v>1</v>
      </c>
      <c r="BN21" s="292">
        <f t="shared" ref="BN21:BN26" ca="1" si="66">BM21/BM$27</f>
        <v>0.125</v>
      </c>
      <c r="BQ21" s="187">
        <f ca="1">BQ11</f>
        <v>8</v>
      </c>
      <c r="BR21" s="262" t="s">
        <v>151</v>
      </c>
      <c r="BS21" s="187" t="str">
        <f t="shared" ref="BS21:BS26" ca="1" si="67">BS$5 &amp; "!" &amp;$BR21</f>
        <v>'Credit_2012Q4'!r</v>
      </c>
      <c r="BU21" s="187" t="str">
        <f t="shared" ref="BU21:BU26" ca="1" si="68">BU$5 &amp; "!" &amp;$BR21</f>
        <v>'Credit_2013Q4'!r</v>
      </c>
      <c r="BW21" s="187" t="str">
        <f t="shared" ref="BW21:CM26" ca="1" si="69">BW$5 &amp; "!" &amp;$BR21</f>
        <v>'Credit_2014Q4'!r</v>
      </c>
      <c r="BY21" s="187" t="str">
        <f t="shared" ca="1" si="69"/>
        <v>'Credit_2015Q4'!r</v>
      </c>
      <c r="CA21" s="187" t="str">
        <f t="shared" ca="1" si="69"/>
        <v>'Credit_2016Q4'!r</v>
      </c>
      <c r="CC21" s="187" t="str">
        <f t="shared" ca="1" si="69"/>
        <v>'Credit_2017Q4'!r</v>
      </c>
      <c r="CE21" s="187" t="str">
        <f t="shared" ca="1" si="69"/>
        <v>'Credit_2018Q4'!r</v>
      </c>
      <c r="CG21" s="187" t="str">
        <f t="shared" ca="1" si="69"/>
        <v>'Credit_2019Q4'!r</v>
      </c>
      <c r="CI21" s="187" t="str">
        <f t="shared" ca="1" si="69"/>
        <v>'Credit_2020Q4'!r</v>
      </c>
      <c r="CK21" s="187" t="str">
        <f t="shared" ca="1" si="69"/>
        <v>'Credit_2021Q4'!r</v>
      </c>
      <c r="CM21" s="187" t="str">
        <f t="shared" ca="1" si="69"/>
        <v>'Credit_2022Q2'!r</v>
      </c>
    </row>
    <row r="22" spans="3:91" x14ac:dyDescent="0.25">
      <c r="C22" s="263"/>
      <c r="D22" s="263" t="s">
        <v>144</v>
      </c>
      <c r="E22" s="215">
        <v>3</v>
      </c>
      <c r="F22" s="275">
        <v>0.125</v>
      </c>
      <c r="G22" s="264"/>
      <c r="H22" s="215">
        <v>2</v>
      </c>
      <c r="I22" s="275">
        <v>0.1</v>
      </c>
      <c r="J22" s="264"/>
      <c r="K22" s="215">
        <v>1</v>
      </c>
      <c r="L22" s="275">
        <v>4.3478260869565216E-2</v>
      </c>
      <c r="M22" s="264"/>
      <c r="N22" s="215">
        <v>0</v>
      </c>
      <c r="O22" s="275">
        <f t="shared" ca="1" si="40"/>
        <v>0</v>
      </c>
      <c r="P22" s="275"/>
      <c r="Q22" s="215">
        <v>2</v>
      </c>
      <c r="R22" s="275">
        <f t="shared" ca="1" si="41"/>
        <v>8.6956521739130432E-2</v>
      </c>
      <c r="S22" s="275"/>
      <c r="T22" s="215">
        <v>3</v>
      </c>
      <c r="U22" s="275">
        <f t="shared" ca="1" si="42"/>
        <v>0.15789473684210525</v>
      </c>
      <c r="V22" s="275"/>
      <c r="W22" s="215">
        <v>5</v>
      </c>
      <c r="X22" s="275">
        <f t="shared" ca="1" si="43"/>
        <v>0.26315789473684209</v>
      </c>
      <c r="Y22" s="275"/>
      <c r="Z22" s="215">
        <v>2</v>
      </c>
      <c r="AA22" s="275">
        <f t="shared" ca="1" si="44"/>
        <v>0.10526315789473684</v>
      </c>
      <c r="AB22" s="275"/>
      <c r="AC22" s="215">
        <f ca="1">Credit_2010Q4!$AD20</f>
        <v>3</v>
      </c>
      <c r="AD22" s="275">
        <f t="shared" ca="1" si="45"/>
        <v>0.15</v>
      </c>
      <c r="AE22" s="275"/>
      <c r="AF22" s="215">
        <f ca="1">Credit_2011Q4!$AD20</f>
        <v>3</v>
      </c>
      <c r="AG22" s="275">
        <f t="shared" ca="1" si="46"/>
        <v>0.15789473684210525</v>
      </c>
      <c r="AH22" s="275"/>
      <c r="AI22" s="215">
        <f t="shared" ca="1" si="47"/>
        <v>2</v>
      </c>
      <c r="AJ22" s="275">
        <f t="shared" ca="1" si="48"/>
        <v>0.11764705882352941</v>
      </c>
      <c r="AK22" s="275"/>
      <c r="AL22" s="215">
        <f t="shared" ca="1" si="49"/>
        <v>5</v>
      </c>
      <c r="AM22" s="275">
        <f t="shared" ca="1" si="50"/>
        <v>0.29411764705882354</v>
      </c>
      <c r="AN22" s="275"/>
      <c r="AO22" s="215">
        <f t="shared" ref="AO22:AO26" ca="1" si="70">INDIRECT( BW22 &amp; $BQ22 )</f>
        <v>4</v>
      </c>
      <c r="AP22" s="275">
        <f t="shared" ca="1" si="51"/>
        <v>0.30769230769230771</v>
      </c>
      <c r="AQ22" s="275"/>
      <c r="AR22" s="215">
        <f t="shared" ca="1" si="52"/>
        <v>5</v>
      </c>
      <c r="AS22" s="275">
        <f t="shared" ca="1" si="53"/>
        <v>0.38461538461538464</v>
      </c>
      <c r="AT22" s="275"/>
      <c r="AU22" s="215">
        <f t="shared" ca="1" si="54"/>
        <v>2</v>
      </c>
      <c r="AV22" s="275">
        <f t="shared" ca="1" si="55"/>
        <v>0.16666666666666666</v>
      </c>
      <c r="AW22" s="275"/>
      <c r="AX22" s="215">
        <f t="shared" ca="1" si="56"/>
        <v>2</v>
      </c>
      <c r="AY22" s="275">
        <f t="shared" ca="1" si="57"/>
        <v>0.14285714285714285</v>
      </c>
      <c r="AZ22" s="275"/>
      <c r="BA22" s="215">
        <f t="shared" ca="1" si="34"/>
        <v>2</v>
      </c>
      <c r="BB22" s="275">
        <f t="shared" ca="1" si="58"/>
        <v>0.15384615384615385</v>
      </c>
      <c r="BC22" s="275"/>
      <c r="BD22" s="215">
        <f t="shared" ca="1" si="59"/>
        <v>1</v>
      </c>
      <c r="BE22" s="275">
        <f t="shared" ca="1" si="60"/>
        <v>0.1</v>
      </c>
      <c r="BF22" s="275"/>
      <c r="BG22" s="215">
        <f t="shared" ca="1" si="61"/>
        <v>1</v>
      </c>
      <c r="BH22" s="275">
        <f t="shared" ca="1" si="62"/>
        <v>0.1</v>
      </c>
      <c r="BI22" s="275"/>
      <c r="BJ22" s="215">
        <f t="shared" ca="1" si="63"/>
        <v>1</v>
      </c>
      <c r="BK22" s="275">
        <f t="shared" ca="1" si="64"/>
        <v>0.1111111111111111</v>
      </c>
      <c r="BL22" s="275"/>
      <c r="BM22" s="287">
        <f t="shared" ca="1" si="65"/>
        <v>1</v>
      </c>
      <c r="BN22" s="293">
        <f t="shared" ca="1" si="66"/>
        <v>0.125</v>
      </c>
      <c r="BQ22" s="187">
        <f t="shared" ref="BQ22:BQ26" ca="1" si="71">BQ12</f>
        <v>9</v>
      </c>
      <c r="BR22" s="185" t="str">
        <f ca="1">BR21</f>
        <v>r</v>
      </c>
      <c r="BS22" s="187" t="str">
        <f t="shared" ca="1" si="67"/>
        <v>'Credit_2012Q4'!r</v>
      </c>
      <c r="BU22" s="187" t="str">
        <f t="shared" ca="1" si="68"/>
        <v>'Credit_2013Q4'!r</v>
      </c>
      <c r="BW22" s="187" t="str">
        <f t="shared" ca="1" si="69"/>
        <v>'Credit_2014Q4'!r</v>
      </c>
      <c r="BY22" s="187" t="str">
        <f t="shared" ca="1" si="69"/>
        <v>'Credit_2015Q4'!r</v>
      </c>
      <c r="CA22" s="187" t="str">
        <f t="shared" ca="1" si="69"/>
        <v>'Credit_2016Q4'!r</v>
      </c>
      <c r="CC22" s="187" t="str">
        <f t="shared" ca="1" si="69"/>
        <v>'Credit_2017Q4'!r</v>
      </c>
      <c r="CE22" s="187" t="str">
        <f t="shared" ca="1" si="69"/>
        <v>'Credit_2018Q4'!r</v>
      </c>
      <c r="CG22" s="187" t="str">
        <f t="shared" ca="1" si="69"/>
        <v>'Credit_2019Q4'!r</v>
      </c>
      <c r="CI22" s="187" t="str">
        <f t="shared" ca="1" si="69"/>
        <v>'Credit_2020Q4'!r</v>
      </c>
      <c r="CK22" s="187" t="str">
        <f t="shared" ca="1" si="69"/>
        <v>'Credit_2021Q4'!r</v>
      </c>
      <c r="CM22" s="187" t="str">
        <f t="shared" ca="1" si="69"/>
        <v>'Credit_2022Q2'!r</v>
      </c>
    </row>
    <row r="23" spans="3:91" x14ac:dyDescent="0.25">
      <c r="C23" s="263"/>
      <c r="D23" s="263" t="s">
        <v>145</v>
      </c>
      <c r="E23" s="215">
        <v>6</v>
      </c>
      <c r="F23" s="275">
        <v>0.25</v>
      </c>
      <c r="G23" s="264"/>
      <c r="H23" s="215">
        <v>5</v>
      </c>
      <c r="I23" s="275">
        <v>0.25</v>
      </c>
      <c r="J23" s="264"/>
      <c r="K23" s="215">
        <v>6</v>
      </c>
      <c r="L23" s="275">
        <v>0.2608695652173913</v>
      </c>
      <c r="M23" s="264"/>
      <c r="N23" s="215">
        <v>6</v>
      </c>
      <c r="O23" s="275">
        <f t="shared" ca="1" si="40"/>
        <v>0.27272727272727271</v>
      </c>
      <c r="P23" s="275"/>
      <c r="Q23" s="215">
        <v>3</v>
      </c>
      <c r="R23" s="275">
        <f t="shared" ca="1" si="41"/>
        <v>0.13043478260869565</v>
      </c>
      <c r="S23" s="275"/>
      <c r="T23" s="215">
        <v>4</v>
      </c>
      <c r="U23" s="275">
        <f t="shared" ca="1" si="42"/>
        <v>0.21052631578947367</v>
      </c>
      <c r="V23" s="275"/>
      <c r="W23" s="215">
        <v>2</v>
      </c>
      <c r="X23" s="275">
        <f t="shared" ca="1" si="43"/>
        <v>0.10526315789473684</v>
      </c>
      <c r="Y23" s="275"/>
      <c r="Z23" s="215">
        <v>5</v>
      </c>
      <c r="AA23" s="275">
        <f t="shared" ca="1" si="44"/>
        <v>0.26315789473684209</v>
      </c>
      <c r="AB23" s="275"/>
      <c r="AC23" s="215">
        <f ca="1">Credit_2010Q4!$AD21</f>
        <v>6</v>
      </c>
      <c r="AD23" s="275">
        <f t="shared" ca="1" si="45"/>
        <v>0.3</v>
      </c>
      <c r="AE23" s="275"/>
      <c r="AF23" s="215">
        <f ca="1">Credit_2011Q4!$AD21</f>
        <v>6</v>
      </c>
      <c r="AG23" s="275">
        <f t="shared" ca="1" si="46"/>
        <v>0.31578947368421051</v>
      </c>
      <c r="AH23" s="275"/>
      <c r="AI23" s="215">
        <f t="shared" ca="1" si="47"/>
        <v>7</v>
      </c>
      <c r="AJ23" s="275">
        <f t="shared" ca="1" si="48"/>
        <v>0.41176470588235292</v>
      </c>
      <c r="AK23" s="275"/>
      <c r="AL23" s="215">
        <f t="shared" ca="1" si="49"/>
        <v>5</v>
      </c>
      <c r="AM23" s="275">
        <f t="shared" ca="1" si="50"/>
        <v>0.29411764705882354</v>
      </c>
      <c r="AN23" s="275"/>
      <c r="AO23" s="215">
        <f t="shared" ca="1" si="70"/>
        <v>4</v>
      </c>
      <c r="AP23" s="275">
        <f t="shared" ca="1" si="51"/>
        <v>0.30769230769230771</v>
      </c>
      <c r="AQ23" s="275"/>
      <c r="AR23" s="215">
        <f t="shared" ca="1" si="52"/>
        <v>5</v>
      </c>
      <c r="AS23" s="275">
        <f t="shared" ca="1" si="53"/>
        <v>0.38461538461538464</v>
      </c>
      <c r="AT23" s="275"/>
      <c r="AU23" s="215">
        <f t="shared" ca="1" si="54"/>
        <v>7</v>
      </c>
      <c r="AV23" s="275">
        <f t="shared" ca="1" si="55"/>
        <v>0.58333333333333337</v>
      </c>
      <c r="AW23" s="275"/>
      <c r="AX23" s="215">
        <f t="shared" ca="1" si="56"/>
        <v>7</v>
      </c>
      <c r="AY23" s="275">
        <f t="shared" ca="1" si="57"/>
        <v>0.5</v>
      </c>
      <c r="AZ23" s="275"/>
      <c r="BA23" s="215">
        <f t="shared" ca="1" si="34"/>
        <v>7</v>
      </c>
      <c r="BB23" s="275">
        <f t="shared" ca="1" si="58"/>
        <v>0.53846153846153844</v>
      </c>
      <c r="BC23" s="275"/>
      <c r="BD23" s="215">
        <f t="shared" ca="1" si="59"/>
        <v>7</v>
      </c>
      <c r="BE23" s="275">
        <f t="shared" ca="1" si="60"/>
        <v>0.7</v>
      </c>
      <c r="BF23" s="275"/>
      <c r="BG23" s="215">
        <f t="shared" ca="1" si="61"/>
        <v>6</v>
      </c>
      <c r="BH23" s="275">
        <f t="shared" ca="1" si="62"/>
        <v>0.6</v>
      </c>
      <c r="BI23" s="275"/>
      <c r="BJ23" s="215">
        <f t="shared" ca="1" si="63"/>
        <v>5</v>
      </c>
      <c r="BK23" s="275">
        <f t="shared" ca="1" si="64"/>
        <v>0.55555555555555558</v>
      </c>
      <c r="BL23" s="275"/>
      <c r="BM23" s="287">
        <f t="shared" ca="1" si="65"/>
        <v>4</v>
      </c>
      <c r="BN23" s="293">
        <f t="shared" ca="1" si="66"/>
        <v>0.5</v>
      </c>
      <c r="BQ23" s="187">
        <f t="shared" ca="1" si="71"/>
        <v>10</v>
      </c>
      <c r="BR23" s="185" t="str">
        <f t="shared" ref="BR23:BR26" ca="1" si="72">BR22</f>
        <v>r</v>
      </c>
      <c r="BS23" s="187" t="str">
        <f t="shared" ca="1" si="67"/>
        <v>'Credit_2012Q4'!r</v>
      </c>
      <c r="BU23" s="187" t="str">
        <f t="shared" ca="1" si="68"/>
        <v>'Credit_2013Q4'!r</v>
      </c>
      <c r="BW23" s="187" t="str">
        <f t="shared" ca="1" si="69"/>
        <v>'Credit_2014Q4'!r</v>
      </c>
      <c r="BY23" s="187" t="str">
        <f t="shared" ca="1" si="69"/>
        <v>'Credit_2015Q4'!r</v>
      </c>
      <c r="CA23" s="187" t="str">
        <f t="shared" ca="1" si="69"/>
        <v>'Credit_2016Q4'!r</v>
      </c>
      <c r="CC23" s="187" t="str">
        <f t="shared" ca="1" si="69"/>
        <v>'Credit_2017Q4'!r</v>
      </c>
      <c r="CE23" s="187" t="str">
        <f t="shared" ca="1" si="69"/>
        <v>'Credit_2018Q4'!r</v>
      </c>
      <c r="CG23" s="187" t="str">
        <f t="shared" ca="1" si="69"/>
        <v>'Credit_2019Q4'!r</v>
      </c>
      <c r="CI23" s="187" t="str">
        <f t="shared" ca="1" si="69"/>
        <v>'Credit_2020Q4'!r</v>
      </c>
      <c r="CK23" s="187" t="str">
        <f t="shared" ca="1" si="69"/>
        <v>'Credit_2021Q4'!r</v>
      </c>
      <c r="CM23" s="187" t="str">
        <f t="shared" ca="1" si="69"/>
        <v>'Credit_2022Q2'!r</v>
      </c>
    </row>
    <row r="24" spans="3:91" x14ac:dyDescent="0.25">
      <c r="C24" s="263"/>
      <c r="D24" s="263" t="s">
        <v>146</v>
      </c>
      <c r="E24" s="215">
        <v>4</v>
      </c>
      <c r="F24" s="275">
        <v>0.16666666666666666</v>
      </c>
      <c r="G24" s="264"/>
      <c r="H24" s="215">
        <v>4</v>
      </c>
      <c r="I24" s="275">
        <v>0.2</v>
      </c>
      <c r="J24" s="264"/>
      <c r="K24" s="215">
        <v>7</v>
      </c>
      <c r="L24" s="275">
        <v>0.30434782608695654</v>
      </c>
      <c r="M24" s="264"/>
      <c r="N24" s="215">
        <v>9</v>
      </c>
      <c r="O24" s="275">
        <f t="shared" ca="1" si="40"/>
        <v>0.40909090909090912</v>
      </c>
      <c r="P24" s="275"/>
      <c r="Q24" s="215">
        <v>11</v>
      </c>
      <c r="R24" s="275">
        <f t="shared" ca="1" si="41"/>
        <v>0.47826086956521741</v>
      </c>
      <c r="S24" s="275"/>
      <c r="T24" s="215">
        <v>6</v>
      </c>
      <c r="U24" s="275">
        <f t="shared" ca="1" si="42"/>
        <v>0.31578947368421051</v>
      </c>
      <c r="V24" s="275"/>
      <c r="W24" s="215">
        <v>8</v>
      </c>
      <c r="X24" s="275">
        <f t="shared" ca="1" si="43"/>
        <v>0.42105263157894735</v>
      </c>
      <c r="Y24" s="275"/>
      <c r="Z24" s="215">
        <v>6</v>
      </c>
      <c r="AA24" s="275">
        <f t="shared" ca="1" si="44"/>
        <v>0.31578947368421051</v>
      </c>
      <c r="AB24" s="275"/>
      <c r="AC24" s="215">
        <f ca="1">Credit_2010Q4!$AD22</f>
        <v>4</v>
      </c>
      <c r="AD24" s="275">
        <f t="shared" ca="1" si="45"/>
        <v>0.2</v>
      </c>
      <c r="AE24" s="275"/>
      <c r="AF24" s="215">
        <f ca="1">Credit_2011Q4!$AD22</f>
        <v>3</v>
      </c>
      <c r="AG24" s="275">
        <f t="shared" ca="1" si="46"/>
        <v>0.15789473684210525</v>
      </c>
      <c r="AH24" s="275"/>
      <c r="AI24" s="215">
        <f t="shared" ca="1" si="47"/>
        <v>3</v>
      </c>
      <c r="AJ24" s="275">
        <f t="shared" ca="1" si="48"/>
        <v>0.17647058823529413</v>
      </c>
      <c r="AK24" s="275"/>
      <c r="AL24" s="215">
        <f t="shared" ca="1" si="49"/>
        <v>3</v>
      </c>
      <c r="AM24" s="275">
        <f t="shared" ca="1" si="50"/>
        <v>0.17647058823529413</v>
      </c>
      <c r="AN24" s="275"/>
      <c r="AO24" s="215">
        <f t="shared" ca="1" si="70"/>
        <v>2</v>
      </c>
      <c r="AP24" s="275">
        <f t="shared" ca="1" si="51"/>
        <v>0.15384615384615385</v>
      </c>
      <c r="AQ24" s="275"/>
      <c r="AR24" s="215">
        <f t="shared" ca="1" si="52"/>
        <v>1</v>
      </c>
      <c r="AS24" s="275">
        <f t="shared" ca="1" si="53"/>
        <v>7.6923076923076927E-2</v>
      </c>
      <c r="AT24" s="275"/>
      <c r="AU24" s="215">
        <f t="shared" ca="1" si="54"/>
        <v>0</v>
      </c>
      <c r="AV24" s="275">
        <f t="shared" ca="1" si="55"/>
        <v>0</v>
      </c>
      <c r="AW24" s="275"/>
      <c r="AX24" s="215">
        <f t="shared" ca="1" si="56"/>
        <v>2</v>
      </c>
      <c r="AY24" s="275">
        <f t="shared" ca="1" si="57"/>
        <v>0.14285714285714285</v>
      </c>
      <c r="AZ24" s="275"/>
      <c r="BA24" s="215">
        <f t="shared" ca="1" si="34"/>
        <v>1</v>
      </c>
      <c r="BB24" s="275">
        <f t="shared" ca="1" si="58"/>
        <v>7.6923076923076927E-2</v>
      </c>
      <c r="BC24" s="275"/>
      <c r="BD24" s="215">
        <f t="shared" ca="1" si="59"/>
        <v>0</v>
      </c>
      <c r="BE24" s="275">
        <f t="shared" ca="1" si="60"/>
        <v>0</v>
      </c>
      <c r="BF24" s="275"/>
      <c r="BG24" s="215">
        <f t="shared" ca="1" si="61"/>
        <v>1</v>
      </c>
      <c r="BH24" s="275">
        <f t="shared" ca="1" si="62"/>
        <v>0.1</v>
      </c>
      <c r="BI24" s="275"/>
      <c r="BJ24" s="215">
        <f t="shared" ca="1" si="63"/>
        <v>1</v>
      </c>
      <c r="BK24" s="275">
        <f t="shared" ca="1" si="64"/>
        <v>0.1111111111111111</v>
      </c>
      <c r="BL24" s="275"/>
      <c r="BM24" s="287">
        <f t="shared" ca="1" si="65"/>
        <v>1</v>
      </c>
      <c r="BN24" s="293">
        <f t="shared" ca="1" si="66"/>
        <v>0.125</v>
      </c>
      <c r="BQ24" s="187">
        <f t="shared" ca="1" si="71"/>
        <v>11</v>
      </c>
      <c r="BR24" s="185" t="str">
        <f t="shared" ca="1" si="72"/>
        <v>r</v>
      </c>
      <c r="BS24" s="187" t="str">
        <f t="shared" ca="1" si="67"/>
        <v>'Credit_2012Q4'!r</v>
      </c>
      <c r="BU24" s="187" t="str">
        <f t="shared" ca="1" si="68"/>
        <v>'Credit_2013Q4'!r</v>
      </c>
      <c r="BW24" s="187" t="str">
        <f t="shared" ca="1" si="69"/>
        <v>'Credit_2014Q4'!r</v>
      </c>
      <c r="BY24" s="187" t="str">
        <f t="shared" ca="1" si="69"/>
        <v>'Credit_2015Q4'!r</v>
      </c>
      <c r="CA24" s="187" t="str">
        <f t="shared" ca="1" si="69"/>
        <v>'Credit_2016Q4'!r</v>
      </c>
      <c r="CC24" s="187" t="str">
        <f t="shared" ca="1" si="69"/>
        <v>'Credit_2017Q4'!r</v>
      </c>
      <c r="CE24" s="187" t="str">
        <f t="shared" ca="1" si="69"/>
        <v>'Credit_2018Q4'!r</v>
      </c>
      <c r="CG24" s="187" t="str">
        <f t="shared" ca="1" si="69"/>
        <v>'Credit_2019Q4'!r</v>
      </c>
      <c r="CI24" s="187" t="str">
        <f t="shared" ca="1" si="69"/>
        <v>'Credit_2020Q4'!r</v>
      </c>
      <c r="CK24" s="187" t="str">
        <f t="shared" ca="1" si="69"/>
        <v>'Credit_2021Q4'!r</v>
      </c>
      <c r="CM24" s="187" t="str">
        <f t="shared" ca="1" si="69"/>
        <v>'Credit_2022Q2'!r</v>
      </c>
    </row>
    <row r="25" spans="3:91" x14ac:dyDescent="0.25">
      <c r="C25" s="263"/>
      <c r="D25" s="263" t="s">
        <v>147</v>
      </c>
      <c r="E25" s="215">
        <v>2</v>
      </c>
      <c r="F25" s="275">
        <v>8.3333333333333329E-2</v>
      </c>
      <c r="G25" s="264"/>
      <c r="H25" s="215">
        <v>2</v>
      </c>
      <c r="I25" s="275">
        <v>0.1</v>
      </c>
      <c r="J25" s="264"/>
      <c r="K25" s="215">
        <v>7</v>
      </c>
      <c r="L25" s="275">
        <v>0.30434782608695654</v>
      </c>
      <c r="M25" s="264"/>
      <c r="N25" s="215">
        <v>0</v>
      </c>
      <c r="O25" s="275">
        <f t="shared" ca="1" si="40"/>
        <v>0</v>
      </c>
      <c r="P25" s="275"/>
      <c r="Q25" s="215">
        <v>1</v>
      </c>
      <c r="R25" s="275">
        <f t="shared" ca="1" si="41"/>
        <v>4.3478260869565216E-2</v>
      </c>
      <c r="S25" s="275"/>
      <c r="T25" s="215">
        <v>4</v>
      </c>
      <c r="U25" s="275">
        <f t="shared" ca="1" si="42"/>
        <v>0.21052631578947367</v>
      </c>
      <c r="V25" s="275"/>
      <c r="W25" s="215">
        <v>3</v>
      </c>
      <c r="X25" s="275">
        <f t="shared" ca="1" si="43"/>
        <v>0.15789473684210525</v>
      </c>
      <c r="Y25" s="275"/>
      <c r="Z25" s="215">
        <v>4</v>
      </c>
      <c r="AA25" s="275">
        <f t="shared" ca="1" si="44"/>
        <v>0.21052631578947367</v>
      </c>
      <c r="AB25" s="275"/>
      <c r="AC25" s="215">
        <f ca="1">Credit_2010Q4!$AD23</f>
        <v>6</v>
      </c>
      <c r="AD25" s="275">
        <f t="shared" ca="1" si="45"/>
        <v>0.3</v>
      </c>
      <c r="AE25" s="275"/>
      <c r="AF25" s="215">
        <f ca="1">Credit_2011Q4!$AD23</f>
        <v>6</v>
      </c>
      <c r="AG25" s="275">
        <f t="shared" ca="1" si="46"/>
        <v>0.31578947368421051</v>
      </c>
      <c r="AH25" s="275"/>
      <c r="AI25" s="215">
        <f t="shared" ca="1" si="47"/>
        <v>4</v>
      </c>
      <c r="AJ25" s="275">
        <f t="shared" ca="1" si="48"/>
        <v>0.23529411764705882</v>
      </c>
      <c r="AK25" s="275"/>
      <c r="AL25" s="215">
        <f t="shared" ca="1" si="49"/>
        <v>3</v>
      </c>
      <c r="AM25" s="275">
        <f t="shared" ca="1" si="50"/>
        <v>0.17647058823529413</v>
      </c>
      <c r="AN25" s="275"/>
      <c r="AO25" s="215">
        <f t="shared" ca="1" si="70"/>
        <v>2</v>
      </c>
      <c r="AP25" s="275">
        <f t="shared" ca="1" si="51"/>
        <v>0.15384615384615385</v>
      </c>
      <c r="AQ25" s="275"/>
      <c r="AR25" s="215">
        <f t="shared" ca="1" si="52"/>
        <v>1</v>
      </c>
      <c r="AS25" s="275">
        <f t="shared" ca="1" si="53"/>
        <v>7.6923076923076927E-2</v>
      </c>
      <c r="AT25" s="275"/>
      <c r="AU25" s="215">
        <f t="shared" ca="1" si="54"/>
        <v>1</v>
      </c>
      <c r="AV25" s="275">
        <f t="shared" ca="1" si="55"/>
        <v>8.3333333333333329E-2</v>
      </c>
      <c r="AW25" s="275"/>
      <c r="AX25" s="215">
        <f t="shared" ca="1" si="56"/>
        <v>1</v>
      </c>
      <c r="AY25" s="275">
        <f t="shared" ca="1" si="57"/>
        <v>7.1428571428571425E-2</v>
      </c>
      <c r="AZ25" s="275"/>
      <c r="BA25" s="215">
        <f t="shared" ca="1" si="34"/>
        <v>1</v>
      </c>
      <c r="BB25" s="275">
        <f t="shared" ca="1" si="58"/>
        <v>7.6923076923076927E-2</v>
      </c>
      <c r="BC25" s="275"/>
      <c r="BD25" s="215">
        <f t="shared" ca="1" si="59"/>
        <v>1</v>
      </c>
      <c r="BE25" s="275">
        <f t="shared" ca="1" si="60"/>
        <v>0.1</v>
      </c>
      <c r="BF25" s="275"/>
      <c r="BG25" s="215">
        <f t="shared" ca="1" si="61"/>
        <v>1</v>
      </c>
      <c r="BH25" s="275">
        <f t="shared" ca="1" si="62"/>
        <v>0.1</v>
      </c>
      <c r="BI25" s="275"/>
      <c r="BJ25" s="215">
        <f t="shared" ca="1" si="63"/>
        <v>1</v>
      </c>
      <c r="BK25" s="275">
        <f t="shared" ca="1" si="64"/>
        <v>0.1111111111111111</v>
      </c>
      <c r="BL25" s="275"/>
      <c r="BM25" s="287">
        <f t="shared" ca="1" si="65"/>
        <v>1</v>
      </c>
      <c r="BN25" s="293">
        <f t="shared" ca="1" si="66"/>
        <v>0.125</v>
      </c>
      <c r="BQ25" s="187">
        <f t="shared" ca="1" si="71"/>
        <v>12</v>
      </c>
      <c r="BR25" s="185" t="str">
        <f t="shared" ca="1" si="72"/>
        <v>r</v>
      </c>
      <c r="BS25" s="187" t="str">
        <f t="shared" ca="1" si="67"/>
        <v>'Credit_2012Q4'!r</v>
      </c>
      <c r="BU25" s="187" t="str">
        <f t="shared" ca="1" si="68"/>
        <v>'Credit_2013Q4'!r</v>
      </c>
      <c r="BW25" s="187" t="str">
        <f t="shared" ca="1" si="69"/>
        <v>'Credit_2014Q4'!r</v>
      </c>
      <c r="BY25" s="187" t="str">
        <f t="shared" ca="1" si="69"/>
        <v>'Credit_2015Q4'!r</v>
      </c>
      <c r="CA25" s="187" t="str">
        <f t="shared" ca="1" si="69"/>
        <v>'Credit_2016Q4'!r</v>
      </c>
      <c r="CC25" s="187" t="str">
        <f t="shared" ca="1" si="69"/>
        <v>'Credit_2017Q4'!r</v>
      </c>
      <c r="CE25" s="187" t="str">
        <f t="shared" ca="1" si="69"/>
        <v>'Credit_2018Q4'!r</v>
      </c>
      <c r="CG25" s="187" t="str">
        <f t="shared" ca="1" si="69"/>
        <v>'Credit_2019Q4'!r</v>
      </c>
      <c r="CI25" s="187" t="str">
        <f t="shared" ca="1" si="69"/>
        <v>'Credit_2020Q4'!r</v>
      </c>
      <c r="CK25" s="187" t="str">
        <f t="shared" ca="1" si="69"/>
        <v>'Credit_2021Q4'!r</v>
      </c>
      <c r="CM25" s="187" t="str">
        <f t="shared" ca="1" si="69"/>
        <v>'Credit_2022Q2'!r</v>
      </c>
    </row>
    <row r="26" spans="3:91" x14ac:dyDescent="0.25">
      <c r="C26" s="265"/>
      <c r="D26" s="265" t="s">
        <v>148</v>
      </c>
      <c r="E26" s="217">
        <v>4</v>
      </c>
      <c r="F26" s="276">
        <v>0.16666666666666666</v>
      </c>
      <c r="G26" s="266"/>
      <c r="H26" s="217">
        <v>4</v>
      </c>
      <c r="I26" s="276">
        <v>0.2</v>
      </c>
      <c r="J26" s="267"/>
      <c r="K26" s="217">
        <v>0</v>
      </c>
      <c r="L26" s="276">
        <v>0</v>
      </c>
      <c r="M26" s="266"/>
      <c r="N26" s="217">
        <v>5</v>
      </c>
      <c r="O26" s="276">
        <f t="shared" ca="1" si="40"/>
        <v>0.22727272727272727</v>
      </c>
      <c r="P26" s="276"/>
      <c r="Q26" s="217">
        <v>5</v>
      </c>
      <c r="R26" s="276">
        <f t="shared" ca="1" si="41"/>
        <v>0.21739130434782608</v>
      </c>
      <c r="S26" s="276"/>
      <c r="T26" s="217">
        <v>1</v>
      </c>
      <c r="U26" s="276">
        <f t="shared" ca="1" si="42"/>
        <v>5.2631578947368418E-2</v>
      </c>
      <c r="V26" s="276"/>
      <c r="W26" s="217">
        <v>0</v>
      </c>
      <c r="X26" s="276">
        <f t="shared" ca="1" si="43"/>
        <v>0</v>
      </c>
      <c r="Y26" s="276"/>
      <c r="Z26" s="217">
        <v>0</v>
      </c>
      <c r="AA26" s="276">
        <f t="shared" ca="1" si="44"/>
        <v>0</v>
      </c>
      <c r="AB26" s="276"/>
      <c r="AC26" s="217">
        <f ca="1">Credit_2010Q4!$AD24</f>
        <v>0</v>
      </c>
      <c r="AD26" s="276">
        <f t="shared" ca="1" si="45"/>
        <v>0</v>
      </c>
      <c r="AE26" s="276"/>
      <c r="AF26" s="217">
        <f ca="1">Credit_2011Q4!$AD24</f>
        <v>0</v>
      </c>
      <c r="AG26" s="276">
        <f t="shared" ca="1" si="46"/>
        <v>0</v>
      </c>
      <c r="AH26" s="276"/>
      <c r="AI26" s="217">
        <f t="shared" ca="1" si="47"/>
        <v>0</v>
      </c>
      <c r="AJ26" s="276">
        <f t="shared" ca="1" si="48"/>
        <v>0</v>
      </c>
      <c r="AK26" s="276"/>
      <c r="AL26" s="217">
        <f t="shared" ca="1" si="49"/>
        <v>0</v>
      </c>
      <c r="AM26" s="276">
        <f t="shared" ca="1" si="50"/>
        <v>0</v>
      </c>
      <c r="AN26" s="276"/>
      <c r="AO26" s="217">
        <f t="shared" ca="1" si="70"/>
        <v>0</v>
      </c>
      <c r="AP26" s="276">
        <f t="shared" ca="1" si="51"/>
        <v>0</v>
      </c>
      <c r="AQ26" s="276"/>
      <c r="AR26" s="217">
        <f t="shared" ca="1" si="52"/>
        <v>0</v>
      </c>
      <c r="AS26" s="276">
        <f t="shared" ca="1" si="53"/>
        <v>0</v>
      </c>
      <c r="AT26" s="276"/>
      <c r="AU26" s="217">
        <f t="shared" ca="1" si="54"/>
        <v>1</v>
      </c>
      <c r="AV26" s="276">
        <f t="shared" ca="1" si="55"/>
        <v>8.3333333333333329E-2</v>
      </c>
      <c r="AW26" s="276"/>
      <c r="AX26" s="217">
        <f t="shared" ca="1" si="56"/>
        <v>1</v>
      </c>
      <c r="AY26" s="276">
        <f t="shared" ca="1" si="57"/>
        <v>7.1428571428571425E-2</v>
      </c>
      <c r="AZ26" s="276"/>
      <c r="BA26" s="217">
        <f t="shared" ca="1" si="34"/>
        <v>0</v>
      </c>
      <c r="BB26" s="276">
        <f t="shared" ca="1" si="58"/>
        <v>0</v>
      </c>
      <c r="BC26" s="276"/>
      <c r="BD26" s="217">
        <f t="shared" ca="1" si="59"/>
        <v>0</v>
      </c>
      <c r="BE26" s="276">
        <f t="shared" ca="1" si="60"/>
        <v>0</v>
      </c>
      <c r="BF26" s="276"/>
      <c r="BG26" s="217">
        <f t="shared" ca="1" si="61"/>
        <v>0</v>
      </c>
      <c r="BH26" s="276">
        <f t="shared" ca="1" si="62"/>
        <v>0</v>
      </c>
      <c r="BI26" s="276"/>
      <c r="BJ26" s="217">
        <f t="shared" ca="1" si="63"/>
        <v>0</v>
      </c>
      <c r="BK26" s="276">
        <f t="shared" ca="1" si="64"/>
        <v>0</v>
      </c>
      <c r="BL26" s="276"/>
      <c r="BM26" s="288">
        <f t="shared" ca="1" si="65"/>
        <v>0</v>
      </c>
      <c r="BN26" s="294">
        <f t="shared" ca="1" si="66"/>
        <v>0</v>
      </c>
      <c r="BQ26" s="187">
        <f t="shared" ca="1" si="71"/>
        <v>13</v>
      </c>
      <c r="BR26" s="185" t="str">
        <f t="shared" ca="1" si="72"/>
        <v>r</v>
      </c>
      <c r="BS26" s="187" t="str">
        <f t="shared" ca="1" si="67"/>
        <v>'Credit_2012Q4'!r</v>
      </c>
      <c r="BU26" s="187" t="str">
        <f t="shared" ca="1" si="68"/>
        <v>'Credit_2013Q4'!r</v>
      </c>
      <c r="BW26" s="187" t="str">
        <f t="shared" ca="1" si="69"/>
        <v>'Credit_2014Q4'!r</v>
      </c>
      <c r="BY26" s="187" t="str">
        <f t="shared" ca="1" si="69"/>
        <v>'Credit_2015Q4'!r</v>
      </c>
      <c r="CA26" s="187" t="str">
        <f t="shared" ca="1" si="69"/>
        <v>'Credit_2016Q4'!r</v>
      </c>
      <c r="CC26" s="187" t="str">
        <f t="shared" ca="1" si="69"/>
        <v>'Credit_2017Q4'!r</v>
      </c>
      <c r="CE26" s="187" t="str">
        <f t="shared" ca="1" si="69"/>
        <v>'Credit_2018Q4'!r</v>
      </c>
      <c r="CG26" s="187" t="str">
        <f t="shared" ca="1" si="69"/>
        <v>'Credit_2019Q4'!r</v>
      </c>
      <c r="CI26" s="187" t="str">
        <f t="shared" ca="1" si="69"/>
        <v>'Credit_2020Q4'!r</v>
      </c>
      <c r="CK26" s="187" t="str">
        <f t="shared" ca="1" si="69"/>
        <v>'Credit_2021Q4'!r</v>
      </c>
      <c r="CM26" s="187" t="str">
        <f t="shared" ca="1" si="69"/>
        <v>'Credit_2022Q2'!r</v>
      </c>
    </row>
    <row r="27" spans="3:91" s="250" customFormat="1" x14ac:dyDescent="0.25">
      <c r="C27" s="268"/>
      <c r="D27" s="268" t="s">
        <v>149</v>
      </c>
      <c r="E27" s="211">
        <f t="shared" ref="E27:AA27" ca="1" si="73">SUM(E21:E26)</f>
        <v>24</v>
      </c>
      <c r="F27" s="277">
        <f t="shared" ca="1" si="73"/>
        <v>1</v>
      </c>
      <c r="G27" s="269"/>
      <c r="H27" s="211">
        <f t="shared" ca="1" si="73"/>
        <v>20</v>
      </c>
      <c r="I27" s="277">
        <f t="shared" ca="1" si="73"/>
        <v>1</v>
      </c>
      <c r="J27" s="269"/>
      <c r="K27" s="211">
        <f t="shared" ca="1" si="73"/>
        <v>23</v>
      </c>
      <c r="L27" s="277">
        <f t="shared" ca="1" si="73"/>
        <v>1</v>
      </c>
      <c r="M27" s="269"/>
      <c r="N27" s="211">
        <f ca="1">SUM(N21:N26)</f>
        <v>22</v>
      </c>
      <c r="O27" s="277">
        <f ca="1">SUM(O21:O26)</f>
        <v>1</v>
      </c>
      <c r="P27" s="277"/>
      <c r="Q27" s="211">
        <f ca="1">SUM(Q21:Q26)</f>
        <v>23</v>
      </c>
      <c r="R27" s="277">
        <f t="shared" ca="1" si="73"/>
        <v>0.99999999999999989</v>
      </c>
      <c r="S27" s="277"/>
      <c r="T27" s="211">
        <f ca="1">SUM(T21:T26)</f>
        <v>19</v>
      </c>
      <c r="U27" s="277">
        <f t="shared" ca="1" si="73"/>
        <v>1</v>
      </c>
      <c r="V27" s="277"/>
      <c r="W27" s="211">
        <f ca="1">SUM(W21:W26)</f>
        <v>19</v>
      </c>
      <c r="X27" s="277">
        <f t="shared" ca="1" si="73"/>
        <v>1</v>
      </c>
      <c r="Y27" s="277"/>
      <c r="Z27" s="211">
        <f ca="1">SUM(Z21:Z26)</f>
        <v>19</v>
      </c>
      <c r="AA27" s="277">
        <f t="shared" ca="1" si="73"/>
        <v>1</v>
      </c>
      <c r="AB27" s="277"/>
      <c r="AC27" s="211">
        <f t="shared" ref="AC27:AF27" ca="1" si="74">SUM(AC21:AC26)</f>
        <v>20</v>
      </c>
      <c r="AD27" s="277">
        <f t="shared" ca="1" si="74"/>
        <v>1</v>
      </c>
      <c r="AE27" s="277"/>
      <c r="AF27" s="211">
        <f t="shared" ca="1" si="74"/>
        <v>19</v>
      </c>
      <c r="AG27" s="277">
        <f t="shared" ref="AG27" ca="1" si="75">SUM(AG21:AG26)</f>
        <v>0.99999999999999989</v>
      </c>
      <c r="AH27" s="277"/>
      <c r="AI27" s="211">
        <f ca="1">SUM(AI21:AI26)</f>
        <v>17</v>
      </c>
      <c r="AJ27" s="277">
        <f t="shared" ref="AJ27" ca="1" si="76">SUM(AJ21:AJ26)</f>
        <v>1</v>
      </c>
      <c r="AK27" s="277"/>
      <c r="AL27" s="211">
        <f ca="1">SUM(AL21:AL26)</f>
        <v>17</v>
      </c>
      <c r="AM27" s="277">
        <f ca="1">SUM(AM21:AM26)</f>
        <v>1</v>
      </c>
      <c r="AN27" s="277"/>
      <c r="AO27" s="211">
        <f ca="1">SUM(AO21:AO26)</f>
        <v>13</v>
      </c>
      <c r="AP27" s="277">
        <f ca="1">SUM(AP21:AP26)</f>
        <v>1</v>
      </c>
      <c r="AQ27" s="277"/>
      <c r="AR27" s="211">
        <f ca="1">SUM(AR21:AR26)</f>
        <v>13</v>
      </c>
      <c r="AS27" s="277">
        <f ca="1">SUM(AS21:AS26)</f>
        <v>1</v>
      </c>
      <c r="AT27" s="277"/>
      <c r="AU27" s="211">
        <f ca="1">SUM(AU21:AU26)</f>
        <v>12</v>
      </c>
      <c r="AV27" s="277">
        <f ca="1">SUM(AV21:AV26)</f>
        <v>1</v>
      </c>
      <c r="AW27" s="277"/>
      <c r="AX27" s="211">
        <f ca="1">SUM(AX21:AX26)</f>
        <v>14</v>
      </c>
      <c r="AY27" s="277">
        <f ca="1">SUM(AY21:AY26)</f>
        <v>1</v>
      </c>
      <c r="AZ27" s="277"/>
      <c r="BA27" s="211">
        <f ca="1">SUM(BA21:BA26)</f>
        <v>13</v>
      </c>
      <c r="BB27" s="277">
        <f ca="1">SUM(BB21:BB26)</f>
        <v>1</v>
      </c>
      <c r="BC27" s="277"/>
      <c r="BD27" s="211">
        <f ca="1">SUM(BD21:BD26)</f>
        <v>10</v>
      </c>
      <c r="BE27" s="277">
        <f ca="1">SUM(BE21:BE26)</f>
        <v>0.99999999999999989</v>
      </c>
      <c r="BF27" s="277"/>
      <c r="BG27" s="211">
        <f ca="1">SUM(BG21:BG26)</f>
        <v>10</v>
      </c>
      <c r="BH27" s="277">
        <f ca="1">SUM(BH21:BH26)</f>
        <v>1</v>
      </c>
      <c r="BI27" s="277"/>
      <c r="BJ27" s="211">
        <f ca="1">SUM(BJ21:BJ26)</f>
        <v>9</v>
      </c>
      <c r="BK27" s="277">
        <f ca="1">SUM(BK21:BK26)</f>
        <v>1</v>
      </c>
      <c r="BL27" s="277"/>
      <c r="BM27" s="289">
        <f ca="1">SUM(BM21:BM26)</f>
        <v>8</v>
      </c>
      <c r="BN27" s="295">
        <f ca="1">SUM(BN21:BN26)</f>
        <v>1</v>
      </c>
      <c r="BR27" s="189"/>
    </row>
    <row r="28" spans="3:91" x14ac:dyDescent="0.25">
      <c r="C28" s="195"/>
      <c r="D28" s="195"/>
      <c r="E28" s="185"/>
      <c r="F28" s="278"/>
      <c r="G28" s="270"/>
      <c r="H28" s="185"/>
      <c r="I28" s="278"/>
      <c r="J28" s="270"/>
      <c r="K28" s="185"/>
      <c r="L28" s="278"/>
      <c r="M28" s="270"/>
      <c r="N28" s="185"/>
      <c r="O28" s="278"/>
      <c r="P28" s="278"/>
      <c r="Q28" s="185"/>
      <c r="R28" s="278"/>
      <c r="S28" s="278"/>
      <c r="T28" s="185"/>
      <c r="U28" s="278"/>
      <c r="V28" s="278"/>
      <c r="W28" s="185"/>
      <c r="X28" s="278"/>
      <c r="Y28" s="278"/>
      <c r="Z28" s="185"/>
      <c r="AA28" s="278"/>
      <c r="AB28" s="278"/>
      <c r="AC28" s="185"/>
      <c r="AD28" s="278"/>
      <c r="AE28" s="278"/>
      <c r="AF28" s="185"/>
      <c r="AG28" s="278"/>
      <c r="AH28" s="278"/>
      <c r="AI28" s="185"/>
      <c r="AJ28" s="278"/>
      <c r="AK28" s="278"/>
      <c r="AL28" s="185"/>
      <c r="AM28" s="278"/>
      <c r="AN28" s="278"/>
      <c r="AO28" s="185"/>
      <c r="AP28" s="278"/>
      <c r="AQ28" s="278"/>
      <c r="AR28" s="185"/>
      <c r="AS28" s="278"/>
      <c r="AT28" s="278"/>
      <c r="AU28" s="185"/>
      <c r="AV28" s="278"/>
      <c r="AW28" s="278"/>
      <c r="AX28" s="185"/>
      <c r="AY28" s="278"/>
      <c r="AZ28" s="278"/>
      <c r="BA28" s="185"/>
      <c r="BB28" s="278"/>
      <c r="BC28" s="278"/>
      <c r="BD28" s="185"/>
      <c r="BE28" s="278"/>
      <c r="BF28" s="278"/>
      <c r="BG28" s="185"/>
      <c r="BH28" s="278"/>
      <c r="BI28" s="278"/>
      <c r="BJ28" s="185"/>
      <c r="BK28" s="278"/>
      <c r="BL28" s="278"/>
      <c r="BM28" s="280"/>
      <c r="BN28" s="296"/>
    </row>
    <row r="29" spans="3:91" x14ac:dyDescent="0.25">
      <c r="C29" s="195"/>
      <c r="D29" s="195"/>
      <c r="E29" s="185"/>
      <c r="F29" s="278"/>
      <c r="G29" s="270"/>
      <c r="H29" s="185"/>
      <c r="I29" s="278"/>
      <c r="J29" s="270"/>
      <c r="K29" s="185"/>
      <c r="L29" s="278"/>
      <c r="M29" s="270"/>
      <c r="N29" s="185"/>
      <c r="O29" s="278"/>
      <c r="P29" s="278"/>
      <c r="Q29" s="185"/>
      <c r="R29" s="278"/>
      <c r="S29" s="278"/>
      <c r="T29" s="185"/>
      <c r="U29" s="278"/>
      <c r="V29" s="278"/>
      <c r="W29" s="185"/>
      <c r="X29" s="278"/>
      <c r="Y29" s="278"/>
      <c r="Z29" s="185"/>
      <c r="AA29" s="278"/>
      <c r="AB29" s="278"/>
      <c r="AC29" s="185"/>
      <c r="AD29" s="278"/>
      <c r="AE29" s="278"/>
      <c r="AF29" s="185"/>
      <c r="AG29" s="278"/>
      <c r="AH29" s="278"/>
      <c r="AI29" s="185"/>
      <c r="AJ29" s="278"/>
      <c r="AK29" s="278"/>
      <c r="AL29" s="185"/>
      <c r="AM29" s="278"/>
      <c r="AN29" s="278"/>
      <c r="AO29" s="185"/>
      <c r="AP29" s="278"/>
      <c r="AQ29" s="278"/>
      <c r="AR29" s="185"/>
      <c r="AS29" s="278"/>
      <c r="AT29" s="278"/>
      <c r="AU29" s="185"/>
      <c r="AV29" s="278"/>
      <c r="AW29" s="278"/>
      <c r="AX29" s="185"/>
      <c r="AY29" s="278"/>
      <c r="AZ29" s="278"/>
      <c r="BA29" s="185"/>
      <c r="BB29" s="278"/>
      <c r="BC29" s="278"/>
      <c r="BD29" s="185"/>
      <c r="BE29" s="278"/>
      <c r="BF29" s="278"/>
      <c r="BG29" s="185"/>
      <c r="BH29" s="278"/>
      <c r="BI29" s="278"/>
      <c r="BJ29" s="185"/>
      <c r="BK29" s="278"/>
      <c r="BL29" s="278"/>
      <c r="BM29" s="280"/>
      <c r="BN29" s="296"/>
    </row>
    <row r="30" spans="3:91" x14ac:dyDescent="0.25">
      <c r="C30" s="257"/>
      <c r="D30" s="257" t="s">
        <v>152</v>
      </c>
      <c r="E30" s="283"/>
      <c r="F30" s="279"/>
      <c r="G30" s="271"/>
      <c r="H30" s="283"/>
      <c r="I30" s="279"/>
      <c r="J30" s="271"/>
      <c r="K30" s="283"/>
      <c r="L30" s="279"/>
      <c r="M30" s="271"/>
      <c r="N30" s="283"/>
      <c r="O30" s="279"/>
      <c r="P30" s="279"/>
      <c r="Q30" s="283"/>
      <c r="R30" s="279"/>
      <c r="S30" s="279"/>
      <c r="T30" s="283"/>
      <c r="U30" s="279"/>
      <c r="V30" s="279"/>
      <c r="W30" s="284"/>
      <c r="X30" s="290"/>
      <c r="Y30" s="279"/>
      <c r="Z30" s="284"/>
      <c r="AA30" s="290"/>
      <c r="AB30" s="279"/>
      <c r="AC30" s="284"/>
      <c r="AD30" s="290"/>
      <c r="AE30" s="279"/>
      <c r="AF30" s="284"/>
      <c r="AG30" s="290"/>
      <c r="AH30" s="279"/>
      <c r="AI30" s="284"/>
      <c r="AJ30" s="290"/>
      <c r="AK30" s="279"/>
      <c r="AL30" s="284"/>
      <c r="AM30" s="290"/>
      <c r="AN30" s="279"/>
      <c r="AO30" s="284"/>
      <c r="AP30" s="290"/>
      <c r="AQ30" s="279"/>
      <c r="AR30" s="284"/>
      <c r="AS30" s="290"/>
      <c r="AT30" s="279"/>
      <c r="AU30" s="284"/>
      <c r="AV30" s="290"/>
      <c r="AW30" s="279"/>
      <c r="AX30" s="284"/>
      <c r="AY30" s="290"/>
      <c r="AZ30" s="279"/>
      <c r="BA30" s="284"/>
      <c r="BB30" s="290"/>
      <c r="BC30" s="279"/>
      <c r="BD30" s="284"/>
      <c r="BE30" s="290"/>
      <c r="BF30" s="290"/>
      <c r="BG30" s="284"/>
      <c r="BH30" s="290"/>
      <c r="BI30" s="290"/>
      <c r="BJ30" s="290"/>
      <c r="BK30" s="290"/>
      <c r="BL30" s="290"/>
      <c r="BM30" s="285"/>
      <c r="BN30" s="297"/>
    </row>
    <row r="31" spans="3:91" x14ac:dyDescent="0.25">
      <c r="C31" s="259"/>
      <c r="D31" s="259" t="s">
        <v>142</v>
      </c>
      <c r="E31" s="213">
        <v>2</v>
      </c>
      <c r="F31" s="274">
        <v>0.14285714285714285</v>
      </c>
      <c r="G31" s="260"/>
      <c r="H31" s="213">
        <v>0</v>
      </c>
      <c r="I31" s="274">
        <v>0</v>
      </c>
      <c r="J31" s="318"/>
      <c r="K31" s="213">
        <v>0</v>
      </c>
      <c r="L31" s="274">
        <v>0</v>
      </c>
      <c r="M31" s="260"/>
      <c r="N31" s="213">
        <v>0</v>
      </c>
      <c r="O31" s="274">
        <f t="shared" ref="O31:O36" ca="1" si="77">N31/$N$37</f>
        <v>0</v>
      </c>
      <c r="P31" s="274"/>
      <c r="Q31" s="213">
        <v>1</v>
      </c>
      <c r="R31" s="274">
        <f t="shared" ref="R31:R36" ca="1" si="78">Q31/$Q$37</f>
        <v>9.0909090909090912E-2</v>
      </c>
      <c r="S31" s="274"/>
      <c r="T31" s="213">
        <v>0</v>
      </c>
      <c r="U31" s="274">
        <f t="shared" ref="U31:U36" ca="1" si="79">T31/$T$37</f>
        <v>0</v>
      </c>
      <c r="V31" s="274"/>
      <c r="W31" s="213">
        <v>0</v>
      </c>
      <c r="X31" s="274">
        <f t="shared" ref="X31:X36" ca="1" si="80">W31/$W$37</f>
        <v>0</v>
      </c>
      <c r="Y31" s="274"/>
      <c r="Z31" s="213">
        <v>0</v>
      </c>
      <c r="AA31" s="274">
        <f t="shared" ref="AA31:AA36" ca="1" si="81">Z31/Z$37</f>
        <v>0</v>
      </c>
      <c r="AB31" s="274"/>
      <c r="AC31" s="213">
        <f ca="1">Credit_2010Q4!$AD30</f>
        <v>0</v>
      </c>
      <c r="AD31" s="274">
        <f t="shared" ref="AD31:AD36" ca="1" si="82">AC31/AC$37</f>
        <v>0</v>
      </c>
      <c r="AE31" s="274"/>
      <c r="AF31" s="213">
        <f ca="1">Credit_2011Q4!$AD30</f>
        <v>0</v>
      </c>
      <c r="AG31" s="274">
        <f t="shared" ref="AG31:AG36" ca="1" si="83">AF31/AF$37</f>
        <v>0</v>
      </c>
      <c r="AH31" s="274"/>
      <c r="AI31" s="213">
        <f t="shared" ref="AI31:AI36" ca="1" si="84">INDIRECT( BS31 &amp; $BQ31 )</f>
        <v>0</v>
      </c>
      <c r="AJ31" s="274">
        <f t="shared" ref="AJ31:AJ36" ca="1" si="85">AI31/AI$37</f>
        <v>0</v>
      </c>
      <c r="AK31" s="274"/>
      <c r="AL31" s="213">
        <f t="shared" ref="AL31:AL36" ca="1" si="86">INDIRECT( BU31 &amp; $BQ31 )</f>
        <v>0</v>
      </c>
      <c r="AM31" s="274">
        <f t="shared" ref="AM31:AM36" ca="1" si="87">AL31/AL$37</f>
        <v>0</v>
      </c>
      <c r="AN31" s="274"/>
      <c r="AO31" s="213">
        <f ca="1">INDIRECT( BW31 &amp; $BQ31 )</f>
        <v>0</v>
      </c>
      <c r="AP31" s="274">
        <f t="shared" ref="AP31:AP36" ca="1" si="88">AO31/AO$37</f>
        <v>0</v>
      </c>
      <c r="AQ31" s="274"/>
      <c r="AR31" s="213">
        <f t="shared" ref="AR31:AR36" ca="1" si="89">INDIRECT( BY31 &amp; $BQ31 )</f>
        <v>0</v>
      </c>
      <c r="AS31" s="274">
        <f t="shared" ref="AS31:AS36" ca="1" si="90">AR31/AR$37</f>
        <v>0</v>
      </c>
      <c r="AT31" s="274"/>
      <c r="AU31" s="213">
        <f t="shared" ref="AU31:AU36" ca="1" si="91">INDIRECT( CA31 &amp; $BQ31 )</f>
        <v>0</v>
      </c>
      <c r="AV31" s="274">
        <f t="shared" ref="AV31:AV36" ca="1" si="92">AU31/AU$37</f>
        <v>0</v>
      </c>
      <c r="AW31" s="274"/>
      <c r="AX31" s="213"/>
      <c r="AY31" s="274"/>
      <c r="AZ31" s="274"/>
      <c r="BA31" s="213"/>
      <c r="BB31" s="274"/>
      <c r="BC31" s="274"/>
      <c r="BD31" s="213"/>
      <c r="BE31" s="274"/>
      <c r="BF31" s="274"/>
      <c r="BG31" s="213"/>
      <c r="BH31" s="274"/>
      <c r="BI31" s="274"/>
      <c r="BJ31" s="213"/>
      <c r="BK31" s="356"/>
      <c r="BL31" s="274"/>
      <c r="BM31" s="286"/>
      <c r="BN31" s="326"/>
      <c r="BQ31" s="187">
        <f ca="1">BQ21</f>
        <v>8</v>
      </c>
      <c r="BR31" s="262" t="s">
        <v>153</v>
      </c>
      <c r="BS31" s="187" t="str">
        <f t="shared" ref="BS31:BS36" ca="1" si="93">BS$5 &amp; "!" &amp;$BR31</f>
        <v>'Credit_2012Q4'!u</v>
      </c>
      <c r="BU31" s="187" t="str">
        <f t="shared" ref="BU31:BU36" ca="1" si="94">BU$5 &amp; "!" &amp;$BR31</f>
        <v>'Credit_2013Q4'!u</v>
      </c>
      <c r="BW31" s="187" t="str">
        <f t="shared" ref="BW31:CM36" ca="1" si="95">BW$5 &amp; "!" &amp;$BR31</f>
        <v>'Credit_2014Q4'!u</v>
      </c>
      <c r="BY31" s="187" t="str">
        <f t="shared" ca="1" si="95"/>
        <v>'Credit_2015Q4'!u</v>
      </c>
      <c r="CA31" s="187" t="str">
        <f t="shared" ca="1" si="95"/>
        <v>'Credit_2016Q4'!u</v>
      </c>
      <c r="CC31" s="187" t="str">
        <f t="shared" ca="1" si="95"/>
        <v>'Credit_2017Q4'!u</v>
      </c>
      <c r="CE31" s="187" t="str">
        <f t="shared" ca="1" si="95"/>
        <v>'Credit_2018Q4'!u</v>
      </c>
      <c r="CG31" s="187" t="str">
        <f t="shared" ca="1" si="95"/>
        <v>'Credit_2019Q4'!u</v>
      </c>
      <c r="CI31" s="187" t="str">
        <f t="shared" ca="1" si="95"/>
        <v>'Credit_2020Q4'!u</v>
      </c>
      <c r="CK31" s="187" t="str">
        <f t="shared" ca="1" si="95"/>
        <v>'Credit_2021Q4'!u</v>
      </c>
      <c r="CM31" s="187" t="str">
        <f t="shared" ca="1" si="95"/>
        <v>'Credit_2022Q2'!u</v>
      </c>
    </row>
    <row r="32" spans="3:91" x14ac:dyDescent="0.25">
      <c r="C32" s="263"/>
      <c r="D32" s="263" t="s">
        <v>144</v>
      </c>
      <c r="E32" s="215">
        <v>1</v>
      </c>
      <c r="F32" s="275">
        <v>7.1428571428571425E-2</v>
      </c>
      <c r="G32" s="264"/>
      <c r="H32" s="215">
        <v>2</v>
      </c>
      <c r="I32" s="275">
        <v>0.13333333333333333</v>
      </c>
      <c r="J32" s="317"/>
      <c r="K32" s="215">
        <v>1</v>
      </c>
      <c r="L32" s="275">
        <v>9.0909090909090912E-2</v>
      </c>
      <c r="M32" s="264"/>
      <c r="N32" s="215">
        <v>1</v>
      </c>
      <c r="O32" s="275">
        <f t="shared" ca="1" si="77"/>
        <v>9.0909090909090912E-2</v>
      </c>
      <c r="P32" s="275"/>
      <c r="Q32" s="215">
        <v>0</v>
      </c>
      <c r="R32" s="275">
        <f t="shared" ca="1" si="78"/>
        <v>0</v>
      </c>
      <c r="S32" s="275"/>
      <c r="T32" s="215">
        <v>2</v>
      </c>
      <c r="U32" s="275">
        <f t="shared" ca="1" si="79"/>
        <v>0.22222222222222221</v>
      </c>
      <c r="V32" s="275"/>
      <c r="W32" s="215">
        <v>0</v>
      </c>
      <c r="X32" s="275">
        <f t="shared" ca="1" si="80"/>
        <v>0</v>
      </c>
      <c r="Y32" s="275"/>
      <c r="Z32" s="215">
        <v>0</v>
      </c>
      <c r="AA32" s="275">
        <f t="shared" ca="1" si="81"/>
        <v>0</v>
      </c>
      <c r="AB32" s="275"/>
      <c r="AC32" s="215">
        <f ca="1">Credit_2010Q4!$AD31</f>
        <v>0</v>
      </c>
      <c r="AD32" s="275">
        <f t="shared" ca="1" si="82"/>
        <v>0</v>
      </c>
      <c r="AE32" s="275"/>
      <c r="AF32" s="215">
        <f ca="1">Credit_2011Q4!$AD31</f>
        <v>0</v>
      </c>
      <c r="AG32" s="275">
        <f t="shared" ca="1" si="83"/>
        <v>0</v>
      </c>
      <c r="AH32" s="275"/>
      <c r="AI32" s="215">
        <f t="shared" ca="1" si="84"/>
        <v>0</v>
      </c>
      <c r="AJ32" s="275">
        <f t="shared" ca="1" si="85"/>
        <v>0</v>
      </c>
      <c r="AK32" s="275"/>
      <c r="AL32" s="215">
        <f t="shared" ca="1" si="86"/>
        <v>0</v>
      </c>
      <c r="AM32" s="275">
        <f t="shared" ca="1" si="87"/>
        <v>0</v>
      </c>
      <c r="AN32" s="275"/>
      <c r="AO32" s="215">
        <f t="shared" ref="AO32:AO36" ca="1" si="96">INDIRECT( BW32 &amp; $BQ32 )</f>
        <v>0</v>
      </c>
      <c r="AP32" s="275">
        <f t="shared" ca="1" si="88"/>
        <v>0</v>
      </c>
      <c r="AQ32" s="275"/>
      <c r="AR32" s="215">
        <f t="shared" ca="1" si="89"/>
        <v>0</v>
      </c>
      <c r="AS32" s="275">
        <f t="shared" ca="1" si="90"/>
        <v>0</v>
      </c>
      <c r="AT32" s="275"/>
      <c r="AU32" s="215">
        <f t="shared" ca="1" si="91"/>
        <v>0</v>
      </c>
      <c r="AV32" s="275">
        <f t="shared" ca="1" si="92"/>
        <v>0</v>
      </c>
      <c r="AW32" s="275"/>
      <c r="AX32" s="215"/>
      <c r="AY32" s="275"/>
      <c r="AZ32" s="275"/>
      <c r="BA32" s="215"/>
      <c r="BB32" s="275"/>
      <c r="BC32" s="275"/>
      <c r="BD32" s="215"/>
      <c r="BE32" s="275"/>
      <c r="BF32" s="275"/>
      <c r="BG32" s="215"/>
      <c r="BH32" s="275"/>
      <c r="BI32" s="275"/>
      <c r="BJ32" s="215"/>
      <c r="BK32" s="357"/>
      <c r="BL32" s="275"/>
      <c r="BM32" s="287"/>
      <c r="BN32" s="327"/>
      <c r="BQ32" s="187">
        <f t="shared" ref="BQ32:BQ36" ca="1" si="97">BQ22</f>
        <v>9</v>
      </c>
      <c r="BR32" s="185" t="str">
        <f ca="1">BR31</f>
        <v>u</v>
      </c>
      <c r="BS32" s="187" t="str">
        <f t="shared" ca="1" si="93"/>
        <v>'Credit_2012Q4'!u</v>
      </c>
      <c r="BU32" s="187" t="str">
        <f t="shared" ca="1" si="94"/>
        <v>'Credit_2013Q4'!u</v>
      </c>
      <c r="BW32" s="187" t="str">
        <f t="shared" ca="1" si="95"/>
        <v>'Credit_2014Q4'!u</v>
      </c>
      <c r="BY32" s="187" t="str">
        <f t="shared" ca="1" si="95"/>
        <v>'Credit_2015Q4'!u</v>
      </c>
      <c r="CA32" s="187" t="str">
        <f t="shared" ca="1" si="95"/>
        <v>'Credit_2016Q4'!u</v>
      </c>
      <c r="CC32" s="187" t="str">
        <f t="shared" ca="1" si="95"/>
        <v>'Credit_2017Q4'!u</v>
      </c>
      <c r="CE32" s="187" t="str">
        <f t="shared" ca="1" si="95"/>
        <v>'Credit_2018Q4'!u</v>
      </c>
      <c r="CG32" s="187" t="str">
        <f t="shared" ca="1" si="95"/>
        <v>'Credit_2019Q4'!u</v>
      </c>
      <c r="CI32" s="187" t="str">
        <f t="shared" ca="1" si="95"/>
        <v>'Credit_2020Q4'!u</v>
      </c>
      <c r="CK32" s="187" t="str">
        <f t="shared" ca="1" si="95"/>
        <v>'Credit_2021Q4'!u</v>
      </c>
      <c r="CM32" s="187" t="str">
        <f t="shared" ca="1" si="95"/>
        <v>'Credit_2022Q2'!u</v>
      </c>
    </row>
    <row r="33" spans="3:91" x14ac:dyDescent="0.25">
      <c r="C33" s="263"/>
      <c r="D33" s="263" t="s">
        <v>145</v>
      </c>
      <c r="E33" s="215">
        <v>2</v>
      </c>
      <c r="F33" s="275">
        <v>0.14285714285714285</v>
      </c>
      <c r="G33" s="264"/>
      <c r="H33" s="215">
        <v>4</v>
      </c>
      <c r="I33" s="275">
        <v>0.26666666666666666</v>
      </c>
      <c r="J33" s="317"/>
      <c r="K33" s="215">
        <v>3</v>
      </c>
      <c r="L33" s="275">
        <v>0.27272727272727271</v>
      </c>
      <c r="M33" s="264"/>
      <c r="N33" s="215">
        <v>2</v>
      </c>
      <c r="O33" s="275">
        <f t="shared" ca="1" si="77"/>
        <v>0.18181818181818182</v>
      </c>
      <c r="P33" s="275"/>
      <c r="Q33" s="215">
        <v>4</v>
      </c>
      <c r="R33" s="275">
        <f t="shared" ca="1" si="78"/>
        <v>0.36363636363636365</v>
      </c>
      <c r="S33" s="275"/>
      <c r="T33" s="215">
        <v>3</v>
      </c>
      <c r="U33" s="275">
        <f t="shared" ca="1" si="79"/>
        <v>0.33333333333333331</v>
      </c>
      <c r="V33" s="275"/>
      <c r="W33" s="215">
        <v>2</v>
      </c>
      <c r="X33" s="275">
        <f t="shared" ca="1" si="80"/>
        <v>0.2857142857142857</v>
      </c>
      <c r="Y33" s="275"/>
      <c r="Z33" s="215">
        <v>1</v>
      </c>
      <c r="AA33" s="275">
        <f t="shared" ca="1" si="81"/>
        <v>0.16666666666666666</v>
      </c>
      <c r="AB33" s="275"/>
      <c r="AC33" s="215">
        <f ca="1">Credit_2010Q4!$AD32</f>
        <v>2</v>
      </c>
      <c r="AD33" s="275">
        <f t="shared" ca="1" si="82"/>
        <v>0.4</v>
      </c>
      <c r="AE33" s="275"/>
      <c r="AF33" s="215">
        <f ca="1">Credit_2011Q4!$AD32</f>
        <v>1</v>
      </c>
      <c r="AG33" s="275">
        <f t="shared" ca="1" si="83"/>
        <v>0.25</v>
      </c>
      <c r="AH33" s="275"/>
      <c r="AI33" s="215">
        <f t="shared" ca="1" si="84"/>
        <v>1</v>
      </c>
      <c r="AJ33" s="275">
        <f t="shared" ca="1" si="85"/>
        <v>0.33333333333333331</v>
      </c>
      <c r="AK33" s="275"/>
      <c r="AL33" s="215">
        <f t="shared" ca="1" si="86"/>
        <v>1</v>
      </c>
      <c r="AM33" s="275">
        <f t="shared" ca="1" si="87"/>
        <v>0.5</v>
      </c>
      <c r="AN33" s="275"/>
      <c r="AO33" s="215">
        <f t="shared" ca="1" si="96"/>
        <v>1</v>
      </c>
      <c r="AP33" s="275">
        <f t="shared" ca="1" si="88"/>
        <v>0.5</v>
      </c>
      <c r="AQ33" s="275"/>
      <c r="AR33" s="215">
        <f t="shared" ca="1" si="89"/>
        <v>1</v>
      </c>
      <c r="AS33" s="275">
        <f t="shared" ca="1" si="90"/>
        <v>0.5</v>
      </c>
      <c r="AT33" s="275"/>
      <c r="AU33" s="215">
        <f t="shared" ca="1" si="91"/>
        <v>0</v>
      </c>
      <c r="AV33" s="275">
        <f t="shared" ca="1" si="92"/>
        <v>0</v>
      </c>
      <c r="AW33" s="275"/>
      <c r="AX33" s="215"/>
      <c r="AY33" s="275"/>
      <c r="AZ33" s="275"/>
      <c r="BA33" s="215"/>
      <c r="BB33" s="275"/>
      <c r="BC33" s="275"/>
      <c r="BD33" s="215"/>
      <c r="BE33" s="275"/>
      <c r="BF33" s="275"/>
      <c r="BG33" s="215"/>
      <c r="BH33" s="275"/>
      <c r="BI33" s="275"/>
      <c r="BJ33" s="215"/>
      <c r="BK33" s="357"/>
      <c r="BL33" s="275"/>
      <c r="BM33" s="287"/>
      <c r="BN33" s="327"/>
      <c r="BQ33" s="187">
        <f t="shared" ca="1" si="97"/>
        <v>10</v>
      </c>
      <c r="BR33" s="185" t="str">
        <f t="shared" ref="BR33:BR36" ca="1" si="98">BR32</f>
        <v>u</v>
      </c>
      <c r="BS33" s="187" t="str">
        <f t="shared" ca="1" si="93"/>
        <v>'Credit_2012Q4'!u</v>
      </c>
      <c r="BU33" s="187" t="str">
        <f t="shared" ca="1" si="94"/>
        <v>'Credit_2013Q4'!u</v>
      </c>
      <c r="BW33" s="187" t="str">
        <f t="shared" ca="1" si="95"/>
        <v>'Credit_2014Q4'!u</v>
      </c>
      <c r="BY33" s="187" t="str">
        <f t="shared" ca="1" si="95"/>
        <v>'Credit_2015Q4'!u</v>
      </c>
      <c r="CA33" s="187" t="str">
        <f t="shared" ca="1" si="95"/>
        <v>'Credit_2016Q4'!u</v>
      </c>
      <c r="CC33" s="187" t="str">
        <f t="shared" ca="1" si="95"/>
        <v>'Credit_2017Q4'!u</v>
      </c>
      <c r="CE33" s="187" t="str">
        <f t="shared" ca="1" si="95"/>
        <v>'Credit_2018Q4'!u</v>
      </c>
      <c r="CG33" s="187" t="str">
        <f t="shared" ca="1" si="95"/>
        <v>'Credit_2019Q4'!u</v>
      </c>
      <c r="CI33" s="187" t="str">
        <f t="shared" ca="1" si="95"/>
        <v>'Credit_2020Q4'!u</v>
      </c>
      <c r="CK33" s="187" t="str">
        <f t="shared" ca="1" si="95"/>
        <v>'Credit_2021Q4'!u</v>
      </c>
      <c r="CM33" s="187" t="str">
        <f t="shared" ca="1" si="95"/>
        <v>'Credit_2022Q2'!u</v>
      </c>
    </row>
    <row r="34" spans="3:91" x14ac:dyDescent="0.25">
      <c r="C34" s="263"/>
      <c r="D34" s="263" t="s">
        <v>146</v>
      </c>
      <c r="E34" s="215">
        <v>7</v>
      </c>
      <c r="F34" s="275">
        <v>0.5</v>
      </c>
      <c r="G34" s="264"/>
      <c r="H34" s="215">
        <v>5</v>
      </c>
      <c r="I34" s="275">
        <v>0.33333333333333331</v>
      </c>
      <c r="J34" s="317"/>
      <c r="K34" s="215">
        <v>5</v>
      </c>
      <c r="L34" s="275">
        <v>0.45454545454545453</v>
      </c>
      <c r="M34" s="264"/>
      <c r="N34" s="215">
        <v>5</v>
      </c>
      <c r="O34" s="275">
        <f t="shared" ca="1" si="77"/>
        <v>0.45454545454545453</v>
      </c>
      <c r="P34" s="275"/>
      <c r="Q34" s="215">
        <v>3</v>
      </c>
      <c r="R34" s="275">
        <f t="shared" ca="1" si="78"/>
        <v>0.27272727272727271</v>
      </c>
      <c r="S34" s="275"/>
      <c r="T34" s="215">
        <v>1</v>
      </c>
      <c r="U34" s="275">
        <f t="shared" ca="1" si="79"/>
        <v>0.1111111111111111</v>
      </c>
      <c r="V34" s="275"/>
      <c r="W34" s="215">
        <v>2</v>
      </c>
      <c r="X34" s="275">
        <f t="shared" ca="1" si="80"/>
        <v>0.2857142857142857</v>
      </c>
      <c r="Y34" s="275"/>
      <c r="Z34" s="215">
        <v>2</v>
      </c>
      <c r="AA34" s="275">
        <f t="shared" ca="1" si="81"/>
        <v>0.33333333333333331</v>
      </c>
      <c r="AB34" s="275"/>
      <c r="AC34" s="215">
        <f ca="1">Credit_2010Q4!$AD33</f>
        <v>0</v>
      </c>
      <c r="AD34" s="275">
        <f t="shared" ca="1" si="82"/>
        <v>0</v>
      </c>
      <c r="AE34" s="275"/>
      <c r="AF34" s="215">
        <f ca="1">Credit_2011Q4!$AD33</f>
        <v>0</v>
      </c>
      <c r="AG34" s="275">
        <f t="shared" ca="1" si="83"/>
        <v>0</v>
      </c>
      <c r="AH34" s="275"/>
      <c r="AI34" s="215">
        <f t="shared" ca="1" si="84"/>
        <v>0</v>
      </c>
      <c r="AJ34" s="275">
        <f t="shared" ca="1" si="85"/>
        <v>0</v>
      </c>
      <c r="AK34" s="275"/>
      <c r="AL34" s="215">
        <f t="shared" ca="1" si="86"/>
        <v>0</v>
      </c>
      <c r="AM34" s="275">
        <f t="shared" ca="1" si="87"/>
        <v>0</v>
      </c>
      <c r="AN34" s="275"/>
      <c r="AO34" s="215">
        <f t="shared" ca="1" si="96"/>
        <v>0</v>
      </c>
      <c r="AP34" s="275">
        <f t="shared" ca="1" si="88"/>
        <v>0</v>
      </c>
      <c r="AQ34" s="275"/>
      <c r="AR34" s="215">
        <f t="shared" ca="1" si="89"/>
        <v>0</v>
      </c>
      <c r="AS34" s="275">
        <f t="shared" ca="1" si="90"/>
        <v>0</v>
      </c>
      <c r="AT34" s="275"/>
      <c r="AU34" s="215">
        <f t="shared" ca="1" si="91"/>
        <v>1</v>
      </c>
      <c r="AV34" s="275">
        <f t="shared" ca="1" si="92"/>
        <v>0.5</v>
      </c>
      <c r="AW34" s="275"/>
      <c r="AX34" s="215"/>
      <c r="AY34" s="275"/>
      <c r="AZ34" s="275"/>
      <c r="BA34" s="215"/>
      <c r="BB34" s="275"/>
      <c r="BC34" s="275"/>
      <c r="BD34" s="215"/>
      <c r="BE34" s="275"/>
      <c r="BF34" s="275"/>
      <c r="BG34" s="215"/>
      <c r="BH34" s="275"/>
      <c r="BI34" s="275"/>
      <c r="BJ34" s="215"/>
      <c r="BK34" s="357"/>
      <c r="BL34" s="275"/>
      <c r="BM34" s="287"/>
      <c r="BN34" s="327"/>
      <c r="BQ34" s="187">
        <f t="shared" ca="1" si="97"/>
        <v>11</v>
      </c>
      <c r="BR34" s="185" t="str">
        <f t="shared" ca="1" si="98"/>
        <v>u</v>
      </c>
      <c r="BS34" s="187" t="str">
        <f t="shared" ca="1" si="93"/>
        <v>'Credit_2012Q4'!u</v>
      </c>
      <c r="BU34" s="187" t="str">
        <f t="shared" ca="1" si="94"/>
        <v>'Credit_2013Q4'!u</v>
      </c>
      <c r="BW34" s="187" t="str">
        <f t="shared" ca="1" si="95"/>
        <v>'Credit_2014Q4'!u</v>
      </c>
      <c r="BY34" s="187" t="str">
        <f t="shared" ca="1" si="95"/>
        <v>'Credit_2015Q4'!u</v>
      </c>
      <c r="CA34" s="187" t="str">
        <f t="shared" ca="1" si="95"/>
        <v>'Credit_2016Q4'!u</v>
      </c>
      <c r="CC34" s="187" t="str">
        <f t="shared" ca="1" si="95"/>
        <v>'Credit_2017Q4'!u</v>
      </c>
      <c r="CE34" s="187" t="str">
        <f t="shared" ca="1" si="95"/>
        <v>'Credit_2018Q4'!u</v>
      </c>
      <c r="CG34" s="187" t="str">
        <f t="shared" ca="1" si="95"/>
        <v>'Credit_2019Q4'!u</v>
      </c>
      <c r="CI34" s="187" t="str">
        <f t="shared" ca="1" si="95"/>
        <v>'Credit_2020Q4'!u</v>
      </c>
      <c r="CK34" s="187" t="str">
        <f t="shared" ca="1" si="95"/>
        <v>'Credit_2021Q4'!u</v>
      </c>
      <c r="CM34" s="187" t="str">
        <f t="shared" ca="1" si="95"/>
        <v>'Credit_2022Q2'!u</v>
      </c>
    </row>
    <row r="35" spans="3:91" x14ac:dyDescent="0.25">
      <c r="C35" s="263"/>
      <c r="D35" s="263" t="s">
        <v>147</v>
      </c>
      <c r="E35" s="215">
        <v>0</v>
      </c>
      <c r="F35" s="275">
        <v>0</v>
      </c>
      <c r="G35" s="264"/>
      <c r="H35" s="215">
        <v>2</v>
      </c>
      <c r="I35" s="275">
        <v>0.13333333333333333</v>
      </c>
      <c r="J35" s="317"/>
      <c r="K35" s="215">
        <v>1</v>
      </c>
      <c r="L35" s="275">
        <v>9.0909090909090912E-2</v>
      </c>
      <c r="M35" s="264"/>
      <c r="N35" s="215">
        <v>2</v>
      </c>
      <c r="O35" s="275">
        <f t="shared" ca="1" si="77"/>
        <v>0.18181818181818182</v>
      </c>
      <c r="P35" s="275"/>
      <c r="Q35" s="215">
        <v>2</v>
      </c>
      <c r="R35" s="275">
        <f t="shared" ca="1" si="78"/>
        <v>0.18181818181818182</v>
      </c>
      <c r="S35" s="275"/>
      <c r="T35" s="215">
        <v>2</v>
      </c>
      <c r="U35" s="275">
        <f t="shared" ca="1" si="79"/>
        <v>0.22222222222222221</v>
      </c>
      <c r="V35" s="275"/>
      <c r="W35" s="215">
        <v>2</v>
      </c>
      <c r="X35" s="275">
        <f t="shared" ca="1" si="80"/>
        <v>0.2857142857142857</v>
      </c>
      <c r="Y35" s="275"/>
      <c r="Z35" s="215">
        <v>2</v>
      </c>
      <c r="AA35" s="275">
        <f t="shared" ca="1" si="81"/>
        <v>0.33333333333333331</v>
      </c>
      <c r="AB35" s="275"/>
      <c r="AC35" s="215">
        <f ca="1">Credit_2010Q4!$AD34</f>
        <v>2</v>
      </c>
      <c r="AD35" s="275">
        <f t="shared" ca="1" si="82"/>
        <v>0.4</v>
      </c>
      <c r="AE35" s="275"/>
      <c r="AF35" s="215">
        <f ca="1">Credit_2011Q4!$AD34</f>
        <v>2</v>
      </c>
      <c r="AG35" s="275">
        <f t="shared" ca="1" si="83"/>
        <v>0.5</v>
      </c>
      <c r="AH35" s="275"/>
      <c r="AI35" s="215">
        <f t="shared" ca="1" si="84"/>
        <v>1</v>
      </c>
      <c r="AJ35" s="275">
        <f t="shared" ca="1" si="85"/>
        <v>0.33333333333333331</v>
      </c>
      <c r="AK35" s="275"/>
      <c r="AL35" s="215">
        <f t="shared" ca="1" si="86"/>
        <v>0</v>
      </c>
      <c r="AM35" s="275">
        <f t="shared" ca="1" si="87"/>
        <v>0</v>
      </c>
      <c r="AN35" s="275"/>
      <c r="AO35" s="215">
        <f t="shared" ca="1" si="96"/>
        <v>1</v>
      </c>
      <c r="AP35" s="275">
        <f t="shared" ca="1" si="88"/>
        <v>0.5</v>
      </c>
      <c r="AQ35" s="275"/>
      <c r="AR35" s="215">
        <f t="shared" ca="1" si="89"/>
        <v>1</v>
      </c>
      <c r="AS35" s="275">
        <f t="shared" ca="1" si="90"/>
        <v>0.5</v>
      </c>
      <c r="AT35" s="275"/>
      <c r="AU35" s="215">
        <f t="shared" ca="1" si="91"/>
        <v>1</v>
      </c>
      <c r="AV35" s="275">
        <f t="shared" ca="1" si="92"/>
        <v>0.5</v>
      </c>
      <c r="AW35" s="275"/>
      <c r="AX35" s="215"/>
      <c r="AY35" s="275"/>
      <c r="AZ35" s="275"/>
      <c r="BA35" s="215"/>
      <c r="BB35" s="275"/>
      <c r="BC35" s="275"/>
      <c r="BD35" s="215"/>
      <c r="BE35" s="275"/>
      <c r="BF35" s="275"/>
      <c r="BG35" s="215"/>
      <c r="BH35" s="275"/>
      <c r="BI35" s="275"/>
      <c r="BJ35" s="215"/>
      <c r="BK35" s="357"/>
      <c r="BL35" s="275"/>
      <c r="BM35" s="287"/>
      <c r="BN35" s="327"/>
      <c r="BQ35" s="187">
        <f t="shared" ca="1" si="97"/>
        <v>12</v>
      </c>
      <c r="BR35" s="185" t="str">
        <f t="shared" ca="1" si="98"/>
        <v>u</v>
      </c>
      <c r="BS35" s="187" t="str">
        <f t="shared" ca="1" si="93"/>
        <v>'Credit_2012Q4'!u</v>
      </c>
      <c r="BU35" s="187" t="str">
        <f t="shared" ca="1" si="94"/>
        <v>'Credit_2013Q4'!u</v>
      </c>
      <c r="BW35" s="187" t="str">
        <f t="shared" ca="1" si="95"/>
        <v>'Credit_2014Q4'!u</v>
      </c>
      <c r="BY35" s="187" t="str">
        <f t="shared" ca="1" si="95"/>
        <v>'Credit_2015Q4'!u</v>
      </c>
      <c r="CA35" s="187" t="str">
        <f t="shared" ca="1" si="95"/>
        <v>'Credit_2016Q4'!u</v>
      </c>
      <c r="CC35" s="187" t="str">
        <f t="shared" ca="1" si="95"/>
        <v>'Credit_2017Q4'!u</v>
      </c>
      <c r="CE35" s="187" t="str">
        <f t="shared" ca="1" si="95"/>
        <v>'Credit_2018Q4'!u</v>
      </c>
      <c r="CG35" s="187" t="str">
        <f t="shared" ca="1" si="95"/>
        <v>'Credit_2019Q4'!u</v>
      </c>
      <c r="CI35" s="187" t="str">
        <f t="shared" ca="1" si="95"/>
        <v>'Credit_2020Q4'!u</v>
      </c>
      <c r="CK35" s="187" t="str">
        <f t="shared" ca="1" si="95"/>
        <v>'Credit_2021Q4'!u</v>
      </c>
      <c r="CM35" s="187" t="str">
        <f t="shared" ca="1" si="95"/>
        <v>'Credit_2022Q2'!u</v>
      </c>
    </row>
    <row r="36" spans="3:91" x14ac:dyDescent="0.25">
      <c r="C36" s="265"/>
      <c r="D36" s="265" t="s">
        <v>148</v>
      </c>
      <c r="E36" s="217">
        <v>2</v>
      </c>
      <c r="F36" s="276">
        <v>0.14285714285714285</v>
      </c>
      <c r="G36" s="266"/>
      <c r="H36" s="217">
        <v>2</v>
      </c>
      <c r="I36" s="276">
        <v>0.13333333333333333</v>
      </c>
      <c r="J36" s="267"/>
      <c r="K36" s="217">
        <v>1</v>
      </c>
      <c r="L36" s="276">
        <v>9.0909090909090912E-2</v>
      </c>
      <c r="M36" s="266"/>
      <c r="N36" s="217">
        <v>1</v>
      </c>
      <c r="O36" s="276">
        <f t="shared" ca="1" si="77"/>
        <v>9.0909090909090912E-2</v>
      </c>
      <c r="P36" s="276"/>
      <c r="Q36" s="217">
        <v>1</v>
      </c>
      <c r="R36" s="276">
        <f t="shared" ca="1" si="78"/>
        <v>9.0909090909090912E-2</v>
      </c>
      <c r="S36" s="276"/>
      <c r="T36" s="217">
        <v>1</v>
      </c>
      <c r="U36" s="276">
        <f t="shared" ca="1" si="79"/>
        <v>0.1111111111111111</v>
      </c>
      <c r="V36" s="276"/>
      <c r="W36" s="217">
        <v>1</v>
      </c>
      <c r="X36" s="276">
        <f t="shared" ca="1" si="80"/>
        <v>0.14285714285714285</v>
      </c>
      <c r="Y36" s="276"/>
      <c r="Z36" s="217">
        <v>1</v>
      </c>
      <c r="AA36" s="276">
        <f t="shared" ca="1" si="81"/>
        <v>0.16666666666666666</v>
      </c>
      <c r="AB36" s="276"/>
      <c r="AC36" s="217">
        <f ca="1">Credit_2010Q4!$AD35</f>
        <v>1</v>
      </c>
      <c r="AD36" s="276">
        <f t="shared" ca="1" si="82"/>
        <v>0.2</v>
      </c>
      <c r="AE36" s="276"/>
      <c r="AF36" s="217">
        <f ca="1">Credit_2011Q4!$AD35</f>
        <v>1</v>
      </c>
      <c r="AG36" s="276">
        <f t="shared" ca="1" si="83"/>
        <v>0.25</v>
      </c>
      <c r="AH36" s="276"/>
      <c r="AI36" s="217">
        <f t="shared" ca="1" si="84"/>
        <v>1</v>
      </c>
      <c r="AJ36" s="276">
        <f t="shared" ca="1" si="85"/>
        <v>0.33333333333333331</v>
      </c>
      <c r="AK36" s="276"/>
      <c r="AL36" s="217">
        <f t="shared" ca="1" si="86"/>
        <v>1</v>
      </c>
      <c r="AM36" s="276">
        <f t="shared" ca="1" si="87"/>
        <v>0.5</v>
      </c>
      <c r="AN36" s="276"/>
      <c r="AO36" s="217">
        <f t="shared" ca="1" si="96"/>
        <v>0</v>
      </c>
      <c r="AP36" s="276">
        <f t="shared" ca="1" si="88"/>
        <v>0</v>
      </c>
      <c r="AQ36" s="276"/>
      <c r="AR36" s="217">
        <f t="shared" ca="1" si="89"/>
        <v>0</v>
      </c>
      <c r="AS36" s="276">
        <f t="shared" ca="1" si="90"/>
        <v>0</v>
      </c>
      <c r="AT36" s="276"/>
      <c r="AU36" s="217">
        <f t="shared" ca="1" si="91"/>
        <v>0</v>
      </c>
      <c r="AV36" s="276">
        <f t="shared" ca="1" si="92"/>
        <v>0</v>
      </c>
      <c r="AW36" s="276"/>
      <c r="AX36" s="217"/>
      <c r="AY36" s="276"/>
      <c r="AZ36" s="276"/>
      <c r="BA36" s="217"/>
      <c r="BB36" s="276"/>
      <c r="BC36" s="276"/>
      <c r="BD36" s="217"/>
      <c r="BE36" s="276"/>
      <c r="BF36" s="276"/>
      <c r="BG36" s="217"/>
      <c r="BH36" s="276"/>
      <c r="BI36" s="276"/>
      <c r="BJ36" s="217"/>
      <c r="BK36" s="358"/>
      <c r="BL36" s="276"/>
      <c r="BM36" s="288"/>
      <c r="BN36" s="328"/>
      <c r="BQ36" s="187">
        <f t="shared" ca="1" si="97"/>
        <v>13</v>
      </c>
      <c r="BR36" s="185" t="str">
        <f t="shared" ca="1" si="98"/>
        <v>u</v>
      </c>
      <c r="BS36" s="187" t="str">
        <f t="shared" ca="1" si="93"/>
        <v>'Credit_2012Q4'!u</v>
      </c>
      <c r="BU36" s="187" t="str">
        <f t="shared" ca="1" si="94"/>
        <v>'Credit_2013Q4'!u</v>
      </c>
      <c r="BW36" s="187" t="str">
        <f t="shared" ca="1" si="95"/>
        <v>'Credit_2014Q4'!u</v>
      </c>
      <c r="BY36" s="187" t="str">
        <f t="shared" ca="1" si="95"/>
        <v>'Credit_2015Q4'!u</v>
      </c>
      <c r="CA36" s="187" t="str">
        <f t="shared" ca="1" si="95"/>
        <v>'Credit_2016Q4'!u</v>
      </c>
      <c r="CC36" s="187" t="str">
        <f t="shared" ca="1" si="95"/>
        <v>'Credit_2017Q4'!u</v>
      </c>
      <c r="CE36" s="187" t="str">
        <f t="shared" ca="1" si="95"/>
        <v>'Credit_2018Q4'!u</v>
      </c>
      <c r="CG36" s="187" t="str">
        <f t="shared" ca="1" si="95"/>
        <v>'Credit_2019Q4'!u</v>
      </c>
      <c r="CI36" s="187" t="str">
        <f t="shared" ca="1" si="95"/>
        <v>'Credit_2020Q4'!u</v>
      </c>
      <c r="CK36" s="187" t="str">
        <f t="shared" ca="1" si="95"/>
        <v>'Credit_2021Q4'!u</v>
      </c>
      <c r="CM36" s="187" t="str">
        <f t="shared" ca="1" si="95"/>
        <v>'Credit_2022Q2'!u</v>
      </c>
    </row>
    <row r="37" spans="3:91" s="250" customFormat="1" x14ac:dyDescent="0.25">
      <c r="C37" s="268"/>
      <c r="D37" s="268" t="s">
        <v>149</v>
      </c>
      <c r="E37" s="211">
        <f t="shared" ref="E37:AA37" ca="1" si="99">SUM(E31:E36)</f>
        <v>14</v>
      </c>
      <c r="F37" s="277">
        <f t="shared" ca="1" si="99"/>
        <v>1</v>
      </c>
      <c r="G37" s="269"/>
      <c r="H37" s="211">
        <f t="shared" ca="1" si="99"/>
        <v>15</v>
      </c>
      <c r="I37" s="277">
        <f t="shared" ca="1" si="99"/>
        <v>1</v>
      </c>
      <c r="J37" s="269"/>
      <c r="K37" s="211">
        <f t="shared" ca="1" si="99"/>
        <v>11</v>
      </c>
      <c r="L37" s="277">
        <f t="shared" ca="1" si="99"/>
        <v>1</v>
      </c>
      <c r="M37" s="269"/>
      <c r="N37" s="211">
        <f ca="1">SUM(N31:N36)</f>
        <v>11</v>
      </c>
      <c r="O37" s="277">
        <f ca="1">SUM(O31:O36)</f>
        <v>1</v>
      </c>
      <c r="P37" s="277"/>
      <c r="Q37" s="211">
        <f ca="1">SUM(Q31:Q36)</f>
        <v>11</v>
      </c>
      <c r="R37" s="277">
        <f t="shared" ca="1" si="99"/>
        <v>1</v>
      </c>
      <c r="S37" s="277"/>
      <c r="T37" s="211">
        <f ca="1">SUM(T31:T36)</f>
        <v>9</v>
      </c>
      <c r="U37" s="277">
        <f t="shared" ca="1" si="99"/>
        <v>1</v>
      </c>
      <c r="V37" s="277"/>
      <c r="W37" s="211">
        <f ca="1">SUM(W31:W36)</f>
        <v>7</v>
      </c>
      <c r="X37" s="277">
        <f t="shared" ca="1" si="99"/>
        <v>1</v>
      </c>
      <c r="Y37" s="277"/>
      <c r="Z37" s="211">
        <f ca="1">SUM(Z31:Z36)</f>
        <v>6</v>
      </c>
      <c r="AA37" s="277">
        <f t="shared" ca="1" si="99"/>
        <v>0.99999999999999989</v>
      </c>
      <c r="AB37" s="277"/>
      <c r="AC37" s="211">
        <f t="shared" ref="AC37:AF37" ca="1" si="100">SUM(AC31:AC36)</f>
        <v>5</v>
      </c>
      <c r="AD37" s="277">
        <f t="shared" ca="1" si="100"/>
        <v>1</v>
      </c>
      <c r="AE37" s="277"/>
      <c r="AF37" s="211">
        <f t="shared" ca="1" si="100"/>
        <v>4</v>
      </c>
      <c r="AG37" s="277">
        <f t="shared" ref="AG37" ca="1" si="101">SUM(AG31:AG36)</f>
        <v>1</v>
      </c>
      <c r="AH37" s="277"/>
      <c r="AI37" s="211">
        <f ca="1">SUM(AI31:AI36)</f>
        <v>3</v>
      </c>
      <c r="AJ37" s="277">
        <f t="shared" ref="AJ37" ca="1" si="102">SUM(AJ31:AJ36)</f>
        <v>1</v>
      </c>
      <c r="AK37" s="277"/>
      <c r="AL37" s="211">
        <f ca="1">SUM(AL31:AL36)</f>
        <v>2</v>
      </c>
      <c r="AM37" s="277">
        <f ca="1">SUM(AM31:AM36)</f>
        <v>1</v>
      </c>
      <c r="AN37" s="277"/>
      <c r="AO37" s="211">
        <f ca="1">SUM(AO31:AO36)</f>
        <v>2</v>
      </c>
      <c r="AP37" s="277">
        <f ca="1">SUM(AP31:AP36)</f>
        <v>1</v>
      </c>
      <c r="AQ37" s="277"/>
      <c r="AR37" s="211">
        <f ca="1">SUM(AR31:AR36)</f>
        <v>2</v>
      </c>
      <c r="AS37" s="277">
        <f ca="1">SUM(AS31:AS36)</f>
        <v>1</v>
      </c>
      <c r="AT37" s="277"/>
      <c r="AU37" s="211">
        <f ca="1">SUM(AU31:AU36)</f>
        <v>2</v>
      </c>
      <c r="AV37" s="277">
        <f ca="1">SUM(AV31:AV36)</f>
        <v>1</v>
      </c>
      <c r="AW37" s="277"/>
      <c r="AX37" s="211"/>
      <c r="AY37" s="277"/>
      <c r="AZ37" s="277"/>
      <c r="BA37" s="211"/>
      <c r="BB37" s="277"/>
      <c r="BC37" s="277"/>
      <c r="BD37" s="211"/>
      <c r="BE37" s="277"/>
      <c r="BF37" s="277"/>
      <c r="BG37" s="211"/>
      <c r="BH37" s="277"/>
      <c r="BI37" s="277"/>
      <c r="BJ37" s="211"/>
      <c r="BK37" s="359"/>
      <c r="BL37" s="277"/>
      <c r="BM37" s="289"/>
      <c r="BN37" s="329"/>
      <c r="BR37" s="189"/>
    </row>
    <row r="38" spans="3:91" x14ac:dyDescent="0.25">
      <c r="AA38" s="291"/>
    </row>
    <row r="40" spans="3:91" x14ac:dyDescent="0.25">
      <c r="C40" s="203"/>
      <c r="D40" s="203" t="s">
        <v>154</v>
      </c>
    </row>
  </sheetData>
  <mergeCells count="22">
    <mergeCell ref="BJ7:BK7"/>
    <mergeCell ref="AO7:AP7"/>
    <mergeCell ref="AX7:AY7"/>
    <mergeCell ref="BA7:BB7"/>
    <mergeCell ref="BD7:BE7"/>
    <mergeCell ref="BG7:BH7"/>
    <mergeCell ref="BM7:BN7"/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-- 2013 Q4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>G2</f>
        <v>Reg_Percent_2012</v>
      </c>
      <c r="G2" s="172" t="s">
        <v>415</v>
      </c>
      <c r="AJ2" s="173" t="str">
        <f>AJ4 &amp; AJ3</f>
        <v>'Credit_2013Q3'!a:a</v>
      </c>
      <c r="AK2" s="173" t="str">
        <f>AK4 &amp; AK3</f>
        <v>'Credit_2013Q3'!b1</v>
      </c>
      <c r="AL2" s="173" t="str">
        <f>AL4 &amp; AL3</f>
        <v>'Credit_2013Q3'!c1</v>
      </c>
      <c r="AQ2" s="169"/>
    </row>
    <row r="3" spans="1:61" ht="18" hidden="1" outlineLevel="1" x14ac:dyDescent="0.2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>$AQ$5</f>
        <v>'Credit_2013Q3'!</v>
      </c>
      <c r="AK4" s="169" t="str">
        <f t="shared" ref="AK4:AL4" si="0">$AQ$5</f>
        <v>'Credit_2013Q3'!</v>
      </c>
      <c r="AL4" s="169" t="str">
        <f t="shared" si="0"/>
        <v>'Credit_2013Q3'!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419</v>
      </c>
    </row>
    <row r="6" spans="1:61" ht="28.5" customHeight="1" x14ac:dyDescent="0.25">
      <c r="A6" s="219" t="s">
        <v>217</v>
      </c>
      <c r="B6" s="220" t="s">
        <v>55</v>
      </c>
      <c r="C6" s="249" t="s">
        <v>219</v>
      </c>
      <c r="D6" s="221"/>
      <c r="E6" s="222">
        <v>41274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8" ca="1" si="1">OFFSET( INDIRECT( E$3 &amp; E$4 ), $G7 - 1, 0 )</f>
        <v>R</v>
      </c>
      <c r="F7" s="347"/>
      <c r="G7" s="348">
        <f t="shared" ref="G7:G64" ca="1" si="2">IF( LEN( $D7 ) = 0, "", MATCH( $D7, INDIRECT( G$3 &amp; G$4 ), 0 ) )</f>
        <v>48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1"/>
        <v>R</v>
      </c>
      <c r="F8" s="347"/>
      <c r="G8" s="348">
        <f t="shared" ca="1" si="2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1"/>
        <v>MR</v>
      </c>
      <c r="F9" s="347"/>
      <c r="G9" s="348">
        <f t="shared" ca="1" si="2"/>
        <v>13</v>
      </c>
      <c r="H9" s="349"/>
      <c r="I9" s="234"/>
      <c r="J9" s="215" t="s">
        <v>144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1"/>
        <v>R</v>
      </c>
      <c r="F10" s="347"/>
      <c r="G10" s="348">
        <f t="shared" ca="1" si="2"/>
        <v>16</v>
      </c>
      <c r="H10" s="349"/>
      <c r="I10" s="234"/>
      <c r="J10" s="215" t="s">
        <v>145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1"/>
        <v>MR</v>
      </c>
      <c r="F11" s="347"/>
      <c r="G11" s="348">
        <f t="shared" ca="1" si="2"/>
        <v>17</v>
      </c>
      <c r="H11" s="349"/>
      <c r="I11" s="234"/>
      <c r="J11" s="215" t="s">
        <v>146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8" x14ac:dyDescent="0.25">
      <c r="A12" s="223" t="s">
        <v>405</v>
      </c>
      <c r="B12" s="224" t="s">
        <v>144</v>
      </c>
      <c r="C12" s="224">
        <v>20</v>
      </c>
      <c r="D12" s="224" t="s">
        <v>406</v>
      </c>
      <c r="E12" s="225" t="str">
        <f t="shared" ca="1" si="1"/>
        <v>R</v>
      </c>
      <c r="F12" s="347"/>
      <c r="G12" s="348">
        <f t="shared" ca="1" si="2"/>
        <v>29</v>
      </c>
      <c r="H12" s="349"/>
      <c r="I12" s="234"/>
      <c r="J12" s="215" t="s">
        <v>147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250</v>
      </c>
      <c r="AR12" s="207" t="s">
        <v>146</v>
      </c>
      <c r="AS12" s="207">
        <v>18</v>
      </c>
      <c r="AT12" s="207" t="s">
        <v>251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1"/>
        <v>MR</v>
      </c>
      <c r="F13" s="347"/>
      <c r="G13" s="348">
        <f t="shared" ca="1" si="2"/>
        <v>32</v>
      </c>
      <c r="H13" s="349"/>
      <c r="I13" s="235"/>
      <c r="J13" s="217" t="s">
        <v>148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254</v>
      </c>
      <c r="AR13" s="207" t="s">
        <v>144</v>
      </c>
      <c r="AS13" s="207">
        <v>20</v>
      </c>
      <c r="AT13" s="207" t="s">
        <v>255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8" x14ac:dyDescent="0.25">
      <c r="A14" s="223" t="s">
        <v>404</v>
      </c>
      <c r="B14" s="224" t="s">
        <v>144</v>
      </c>
      <c r="C14" s="224">
        <v>20</v>
      </c>
      <c r="D14" s="224" t="s">
        <v>241</v>
      </c>
      <c r="E14" s="225" t="str">
        <f t="shared" ca="1" si="1"/>
        <v>R</v>
      </c>
      <c r="F14" s="347"/>
      <c r="G14" s="348">
        <f t="shared" ca="1" si="2"/>
        <v>34</v>
      </c>
      <c r="H14" s="349"/>
      <c r="I14" s="236"/>
      <c r="J14" s="211" t="s">
        <v>149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259</v>
      </c>
      <c r="AR14" s="207" t="s">
        <v>145</v>
      </c>
      <c r="AS14" s="207">
        <v>19</v>
      </c>
      <c r="AT14" s="207" t="s">
        <v>388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1"/>
        <v>MR</v>
      </c>
      <c r="F15" s="347"/>
      <c r="G15" s="348">
        <f t="shared" ca="1" si="2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261</v>
      </c>
      <c r="AR15" s="207" t="s">
        <v>146</v>
      </c>
      <c r="AS15" s="207">
        <v>18</v>
      </c>
      <c r="AT15" s="207" t="s">
        <v>262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8" x14ac:dyDescent="0.25">
      <c r="A16" s="223" t="s">
        <v>286</v>
      </c>
      <c r="B16" s="224" t="s">
        <v>144</v>
      </c>
      <c r="C16" s="224">
        <v>20</v>
      </c>
      <c r="D16" s="224" t="s">
        <v>287</v>
      </c>
      <c r="E16" s="225" t="str">
        <f t="shared" ca="1" si="1"/>
        <v>R</v>
      </c>
      <c r="F16" s="347"/>
      <c r="G16" s="348">
        <f t="shared" ca="1" si="2"/>
        <v>41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18.444444444444443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18.457142857142856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13.5</v>
      </c>
      <c r="V16" s="371"/>
      <c r="W16" s="232"/>
      <c r="AE16" s="184"/>
      <c r="AF16" s="169">
        <f t="shared" si="3"/>
        <v>0</v>
      </c>
      <c r="AG16" s="169">
        <f t="shared" ca="1" si="4"/>
        <v>1</v>
      </c>
      <c r="AH16" s="169" t="str">
        <f t="shared" ca="1" si="19"/>
        <v/>
      </c>
      <c r="AJ16" s="169">
        <f t="shared" ca="1" si="5"/>
        <v>26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6"/>
        <v>Change</v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ht="13.8" x14ac:dyDescent="0.25">
      <c r="A17" s="223" t="s">
        <v>355</v>
      </c>
      <c r="B17" s="224" t="s">
        <v>144</v>
      </c>
      <c r="C17" s="224">
        <v>20</v>
      </c>
      <c r="D17" s="224" t="s">
        <v>356</v>
      </c>
      <c r="E17" s="225" t="str">
        <f t="shared" ca="1" si="1"/>
        <v>MR</v>
      </c>
      <c r="F17" s="347"/>
      <c r="G17" s="348">
        <f t="shared" ca="1" si="2"/>
        <v>53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371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ht="13.8" x14ac:dyDescent="0.25">
      <c r="A18" s="223" t="s">
        <v>252</v>
      </c>
      <c r="B18" s="224" t="s">
        <v>144</v>
      </c>
      <c r="C18" s="224">
        <v>20</v>
      </c>
      <c r="D18" s="224" t="s">
        <v>253</v>
      </c>
      <c r="E18" s="225" t="str">
        <f t="shared" ca="1" si="1"/>
        <v>R</v>
      </c>
      <c r="F18" s="347"/>
      <c r="G18" s="348">
        <f t="shared" ca="1" si="2"/>
        <v>55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ht="13.8" x14ac:dyDescent="0.25">
      <c r="A19" s="223" t="s">
        <v>256</v>
      </c>
      <c r="B19" s="224" t="s">
        <v>144</v>
      </c>
      <c r="C19" s="224">
        <v>20</v>
      </c>
      <c r="D19" s="224" t="s">
        <v>257</v>
      </c>
      <c r="E19" s="225" t="str">
        <f t="shared" ca="1" si="1"/>
        <v>R</v>
      </c>
      <c r="F19" s="347"/>
      <c r="G19" s="348">
        <f t="shared" ca="1" si="2"/>
        <v>56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ht="13.8" x14ac:dyDescent="0.25">
      <c r="A20" s="223" t="s">
        <v>222</v>
      </c>
      <c r="B20" s="224" t="s">
        <v>145</v>
      </c>
      <c r="C20" s="224">
        <v>19</v>
      </c>
      <c r="D20" s="224" t="s">
        <v>223</v>
      </c>
      <c r="E20" s="225" t="str">
        <f t="shared" ca="1" si="1"/>
        <v>R</v>
      </c>
      <c r="F20" s="347"/>
      <c r="G20" s="348">
        <f t="shared" ca="1" si="2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ht="13.8" x14ac:dyDescent="0.25">
      <c r="A21" s="223" t="s">
        <v>230</v>
      </c>
      <c r="B21" s="224" t="s">
        <v>145</v>
      </c>
      <c r="C21" s="224">
        <v>19</v>
      </c>
      <c r="D21" s="224" t="s">
        <v>231</v>
      </c>
      <c r="E21" s="225" t="str">
        <f t="shared" ca="1" si="1"/>
        <v>R</v>
      </c>
      <c r="F21" s="347"/>
      <c r="G21" s="348">
        <f t="shared" ca="1" si="2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>
        <f t="shared" ca="1" si="4"/>
        <v>1</v>
      </c>
      <c r="AH21" s="169" t="str">
        <f t="shared" ca="1" si="19"/>
        <v/>
      </c>
      <c r="AJ21" s="169">
        <f t="shared" ca="1" si="5"/>
        <v>31</v>
      </c>
      <c r="AK21" s="169" t="str">
        <f t="shared" ca="1" si="20"/>
        <v>BBB</v>
      </c>
      <c r="AL21" s="169">
        <f t="shared" ca="1" si="20"/>
        <v>18</v>
      </c>
      <c r="AM21" s="169" t="str">
        <f t="shared" ca="1" si="6"/>
        <v>Change</v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ht="13.8" x14ac:dyDescent="0.25">
      <c r="A22" s="223" t="s">
        <v>259</v>
      </c>
      <c r="B22" s="224" t="s">
        <v>145</v>
      </c>
      <c r="C22" s="224">
        <v>19</v>
      </c>
      <c r="D22" s="224" t="s">
        <v>388</v>
      </c>
      <c r="E22" s="225" t="str">
        <f t="shared" ca="1" si="1"/>
        <v>R</v>
      </c>
      <c r="F22" s="347"/>
      <c r="G22" s="348">
        <f t="shared" ca="1" si="2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20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338</v>
      </c>
      <c r="AR22" s="207" t="s">
        <v>146</v>
      </c>
      <c r="AS22" s="207">
        <v>18</v>
      </c>
      <c r="AT22" s="207" t="s">
        <v>341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ht="13.8" x14ac:dyDescent="0.2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1"/>
        <v>R</v>
      </c>
      <c r="F23" s="347"/>
      <c r="G23" s="348">
        <f t="shared" ca="1" si="2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21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377</v>
      </c>
      <c r="AR23" s="207" t="s">
        <v>146</v>
      </c>
      <c r="AS23" s="207">
        <v>18</v>
      </c>
      <c r="AT23" s="207" t="s">
        <v>378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ht="13.8" x14ac:dyDescent="0.2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1"/>
        <v>R</v>
      </c>
      <c r="F24" s="347"/>
      <c r="G24" s="348">
        <f t="shared" ca="1" si="2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22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381</v>
      </c>
      <c r="AR24" s="207" t="s">
        <v>194</v>
      </c>
      <c r="AS24" s="207">
        <v>8</v>
      </c>
      <c r="AT24" s="207" t="s">
        <v>369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ht="13.8" x14ac:dyDescent="0.25">
      <c r="A25" s="223" t="s">
        <v>276</v>
      </c>
      <c r="B25" s="224" t="s">
        <v>145</v>
      </c>
      <c r="C25" s="224">
        <v>19</v>
      </c>
      <c r="D25" s="224" t="s">
        <v>277</v>
      </c>
      <c r="E25" s="225" t="str">
        <f t="shared" ca="1" si="1"/>
        <v>D</v>
      </c>
      <c r="F25" s="347"/>
      <c r="G25" s="348">
        <f t="shared" ca="1" si="2"/>
        <v>30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23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ht="13.8" x14ac:dyDescent="0.25">
      <c r="A26" s="223" t="s">
        <v>418</v>
      </c>
      <c r="B26" s="224" t="s">
        <v>145</v>
      </c>
      <c r="C26" s="224">
        <v>19</v>
      </c>
      <c r="D26" s="224" t="s">
        <v>221</v>
      </c>
      <c r="E26" s="225" t="str">
        <f t="shared" ca="1" si="1"/>
        <v>MR</v>
      </c>
      <c r="F26" s="347"/>
      <c r="G26" s="348">
        <f t="shared" ca="1" si="2"/>
        <v>62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24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ht="13.8" x14ac:dyDescent="0.25">
      <c r="A27" s="223" t="s">
        <v>392</v>
      </c>
      <c r="B27" s="224" t="s">
        <v>145</v>
      </c>
      <c r="C27" s="224">
        <v>19</v>
      </c>
      <c r="D27" s="224" t="s">
        <v>393</v>
      </c>
      <c r="E27" s="225" t="str">
        <f t="shared" ca="1" si="1"/>
        <v>MR</v>
      </c>
      <c r="F27" s="347"/>
      <c r="G27" s="348">
        <f t="shared" ca="1" si="2"/>
        <v>39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25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ht="13.8" x14ac:dyDescent="0.25">
      <c r="A28" s="223" t="s">
        <v>294</v>
      </c>
      <c r="B28" s="224" t="s">
        <v>145</v>
      </c>
      <c r="C28" s="224">
        <v>19</v>
      </c>
      <c r="D28" s="224" t="s">
        <v>295</v>
      </c>
      <c r="E28" s="225" t="str">
        <f t="shared" ca="1" si="1"/>
        <v>MR</v>
      </c>
      <c r="F28" s="347"/>
      <c r="G28" s="348">
        <f t="shared" ca="1" si="2"/>
        <v>45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362</v>
      </c>
      <c r="AR28" s="207" t="s">
        <v>146</v>
      </c>
      <c r="AS28" s="207">
        <v>18</v>
      </c>
      <c r="AT28" s="207" t="s">
        <v>363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ht="13.8" x14ac:dyDescent="0.25">
      <c r="A29" s="223" t="s">
        <v>357</v>
      </c>
      <c r="B29" s="224" t="s">
        <v>145</v>
      </c>
      <c r="C29" s="224">
        <v>19</v>
      </c>
      <c r="D29" s="224" t="s">
        <v>358</v>
      </c>
      <c r="E29" s="225" t="str">
        <f t="shared" ca="1" si="1"/>
        <v>MR</v>
      </c>
      <c r="F29" s="347"/>
      <c r="G29" s="348">
        <f t="shared" ca="1" si="2"/>
        <v>46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ht="13.8" x14ac:dyDescent="0.25">
      <c r="A30" s="223" t="s">
        <v>296</v>
      </c>
      <c r="B30" s="224" t="s">
        <v>145</v>
      </c>
      <c r="C30" s="224">
        <v>19</v>
      </c>
      <c r="D30" s="224" t="s">
        <v>297</v>
      </c>
      <c r="E30" s="225" t="str">
        <f t="shared" ca="1" si="1"/>
        <v>MR</v>
      </c>
      <c r="F30" s="347"/>
      <c r="G30" s="348">
        <f t="shared" ca="1" si="2"/>
        <v>47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397</v>
      </c>
      <c r="AR30" s="207" t="s">
        <v>146</v>
      </c>
      <c r="AS30" s="207">
        <v>18</v>
      </c>
      <c r="AT30" s="207" t="s">
        <v>398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ht="13.8" x14ac:dyDescent="0.25">
      <c r="A31" s="223" t="s">
        <v>379</v>
      </c>
      <c r="B31" s="224" t="s">
        <v>145</v>
      </c>
      <c r="C31" s="224">
        <v>19</v>
      </c>
      <c r="D31" s="224" t="s">
        <v>385</v>
      </c>
      <c r="E31" s="225" t="str">
        <f t="shared" ca="1" si="1"/>
        <v>R</v>
      </c>
      <c r="F31" s="347"/>
      <c r="G31" s="348">
        <f t="shared" ca="1" si="2"/>
        <v>49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ht="13.8" x14ac:dyDescent="0.25">
      <c r="A32" s="223" t="s">
        <v>227</v>
      </c>
      <c r="B32" s="224" t="s">
        <v>146</v>
      </c>
      <c r="C32" s="224">
        <v>18</v>
      </c>
      <c r="D32" s="224" t="s">
        <v>228</v>
      </c>
      <c r="E32" s="225" t="str">
        <f t="shared" ca="1" si="1"/>
        <v>R</v>
      </c>
      <c r="F32" s="347"/>
      <c r="G32" s="348">
        <f t="shared" ca="1" si="2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ht="13.8" x14ac:dyDescent="0.25">
      <c r="A33" s="223" t="s">
        <v>243</v>
      </c>
      <c r="B33" s="224" t="s">
        <v>146</v>
      </c>
      <c r="C33" s="224">
        <v>18</v>
      </c>
      <c r="D33" s="224" t="s">
        <v>244</v>
      </c>
      <c r="E33" s="225" t="str">
        <f t="shared" ca="1" si="1"/>
        <v>R</v>
      </c>
      <c r="F33" s="347"/>
      <c r="G33" s="348">
        <f t="shared" ca="1" si="2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292</v>
      </c>
      <c r="AR33" s="207" t="s">
        <v>178</v>
      </c>
      <c r="AS33" s="207">
        <v>16</v>
      </c>
      <c r="AT33" s="207" t="s">
        <v>293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ht="13.8" x14ac:dyDescent="0.25">
      <c r="A34" s="223" t="s">
        <v>250</v>
      </c>
      <c r="B34" s="224" t="s">
        <v>146</v>
      </c>
      <c r="C34" s="224">
        <v>18</v>
      </c>
      <c r="D34" s="224" t="s">
        <v>251</v>
      </c>
      <c r="E34" s="225" t="str">
        <f t="shared" ca="1" si="1"/>
        <v>R</v>
      </c>
      <c r="F34" s="347"/>
      <c r="G34" s="348">
        <f t="shared" ca="1" si="2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ht="13.8" x14ac:dyDescent="0.25">
      <c r="A35" s="223" t="s">
        <v>261</v>
      </c>
      <c r="B35" s="224" t="s">
        <v>146</v>
      </c>
      <c r="C35" s="224">
        <v>18</v>
      </c>
      <c r="D35" s="224" t="s">
        <v>262</v>
      </c>
      <c r="E35" s="225" t="str">
        <f t="shared" ca="1" si="1"/>
        <v>R</v>
      </c>
      <c r="F35" s="347"/>
      <c r="G35" s="348">
        <f t="shared" ca="1" si="2"/>
        <v>15</v>
      </c>
      <c r="H35" s="349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418</v>
      </c>
      <c r="AR35" s="207" t="s">
        <v>145</v>
      </c>
      <c r="AS35" s="207">
        <v>19</v>
      </c>
      <c r="AT35" s="207" t="s">
        <v>221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ht="13.8" x14ac:dyDescent="0.25">
      <c r="A36" s="223" t="s">
        <v>338</v>
      </c>
      <c r="B36" s="224" t="s">
        <v>146</v>
      </c>
      <c r="C36" s="224">
        <v>18</v>
      </c>
      <c r="D36" s="224" t="s">
        <v>341</v>
      </c>
      <c r="E36" s="225" t="str">
        <f t="shared" ca="1" si="1"/>
        <v>R</v>
      </c>
      <c r="F36" s="347"/>
      <c r="G36" s="348">
        <f t="shared" ca="1" si="2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ht="13.8" x14ac:dyDescent="0.25">
      <c r="A37" s="223" t="s">
        <v>377</v>
      </c>
      <c r="B37" s="224" t="s">
        <v>146</v>
      </c>
      <c r="C37" s="224">
        <v>18</v>
      </c>
      <c r="D37" s="224" t="s">
        <v>378</v>
      </c>
      <c r="E37" s="225" t="str">
        <f t="shared" ca="1" si="1"/>
        <v>R</v>
      </c>
      <c r="F37" s="347"/>
      <c r="G37" s="348">
        <f t="shared" ca="1" si="2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ht="13.8" x14ac:dyDescent="0.25">
      <c r="A38" s="223" t="s">
        <v>272</v>
      </c>
      <c r="B38" s="224" t="s">
        <v>146</v>
      </c>
      <c r="C38" s="224">
        <v>18</v>
      </c>
      <c r="D38" s="224" t="s">
        <v>273</v>
      </c>
      <c r="E38" s="225" t="str">
        <f t="shared" ca="1" si="1"/>
        <v>R</v>
      </c>
      <c r="F38" s="347"/>
      <c r="G38" s="348">
        <f t="shared" ca="1" si="2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404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ht="13.8" x14ac:dyDescent="0.25">
      <c r="A39" s="223" t="s">
        <v>274</v>
      </c>
      <c r="B39" s="224" t="s">
        <v>146</v>
      </c>
      <c r="C39" s="224">
        <v>18</v>
      </c>
      <c r="D39" s="224" t="s">
        <v>275</v>
      </c>
      <c r="E39" s="225" t="str">
        <f t="shared" ca="1" si="1"/>
        <v>MR</v>
      </c>
      <c r="F39" s="347"/>
      <c r="G39" s="348">
        <f t="shared" ca="1" si="2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ht="13.8" x14ac:dyDescent="0.25">
      <c r="A40" s="223" t="s">
        <v>362</v>
      </c>
      <c r="B40" s="224" t="s">
        <v>146</v>
      </c>
      <c r="C40" s="224">
        <v>18</v>
      </c>
      <c r="D40" s="224" t="s">
        <v>363</v>
      </c>
      <c r="E40" s="225" t="str">
        <f t="shared" ca="1" si="1"/>
        <v>R</v>
      </c>
      <c r="F40" s="347"/>
      <c r="G40" s="348">
        <f t="shared" ca="1" si="2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282</v>
      </c>
      <c r="AR40" s="207" t="s">
        <v>144</v>
      </c>
      <c r="AS40" s="207">
        <v>20</v>
      </c>
      <c r="AT40" s="207" t="s">
        <v>283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ht="13.8" x14ac:dyDescent="0.25">
      <c r="A41" s="223" t="s">
        <v>397</v>
      </c>
      <c r="B41" s="224" t="s">
        <v>146</v>
      </c>
      <c r="C41" s="224">
        <v>18</v>
      </c>
      <c r="D41" s="224" t="s">
        <v>398</v>
      </c>
      <c r="E41" s="225" t="str">
        <f t="shared" ca="1" si="1"/>
        <v>R</v>
      </c>
      <c r="F41" s="347"/>
      <c r="G41" s="348">
        <f t="shared" ca="1" si="2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304</v>
      </c>
      <c r="AR41" s="207" t="s">
        <v>146</v>
      </c>
      <c r="AS41" s="207">
        <v>18</v>
      </c>
      <c r="AT41" s="207" t="s">
        <v>305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ht="13.8" x14ac:dyDescent="0.2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1"/>
        <v>R</v>
      </c>
      <c r="F42" s="347"/>
      <c r="G42" s="348">
        <f t="shared" ca="1" si="2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392</v>
      </c>
      <c r="AR42" s="207" t="s">
        <v>145</v>
      </c>
      <c r="AS42" s="207">
        <v>19</v>
      </c>
      <c r="AT42" s="207" t="s">
        <v>393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1"/>
        <v>R</v>
      </c>
      <c r="F43" s="347"/>
      <c r="G43" s="348">
        <f t="shared" ca="1" si="2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306</v>
      </c>
      <c r="AR43" s="207" t="s">
        <v>146</v>
      </c>
      <c r="AS43" s="207">
        <v>18</v>
      </c>
      <c r="AT43" s="207" t="s">
        <v>307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8" x14ac:dyDescent="0.2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1"/>
        <v>MR</v>
      </c>
      <c r="F44" s="347"/>
      <c r="G44" s="348">
        <f t="shared" ca="1" si="2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286</v>
      </c>
      <c r="AR44" s="207" t="s">
        <v>144</v>
      </c>
      <c r="AS44" s="207">
        <v>20</v>
      </c>
      <c r="AT44" s="207" t="s">
        <v>287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8" x14ac:dyDescent="0.25">
      <c r="A45" s="223" t="s">
        <v>306</v>
      </c>
      <c r="B45" s="224" t="s">
        <v>146</v>
      </c>
      <c r="C45" s="224">
        <v>18</v>
      </c>
      <c r="D45" s="224" t="s">
        <v>307</v>
      </c>
      <c r="E45" s="225" t="str">
        <f t="shared" ca="1" si="1"/>
        <v>R</v>
      </c>
      <c r="F45" s="347"/>
      <c r="G45" s="348">
        <f t="shared" ca="1" si="2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308</v>
      </c>
      <c r="AR45" s="207" t="s">
        <v>146</v>
      </c>
      <c r="AS45" s="207">
        <v>18</v>
      </c>
      <c r="AT45" s="207" t="s">
        <v>309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8" x14ac:dyDescent="0.25">
      <c r="A46" s="223" t="s">
        <v>308</v>
      </c>
      <c r="B46" s="224" t="s">
        <v>146</v>
      </c>
      <c r="C46" s="224">
        <v>18</v>
      </c>
      <c r="D46" s="224" t="s">
        <v>309</v>
      </c>
      <c r="E46" s="225" t="str">
        <f t="shared" ca="1" si="1"/>
        <v>R</v>
      </c>
      <c r="F46" s="347"/>
      <c r="G46" s="348">
        <f t="shared" ca="1" si="2"/>
        <v>42</v>
      </c>
      <c r="H46" s="349"/>
      <c r="I46" s="191"/>
      <c r="K46" s="191"/>
      <c r="N46" s="350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290</v>
      </c>
      <c r="AR46" s="207" t="s">
        <v>146</v>
      </c>
      <c r="AS46" s="207">
        <v>18</v>
      </c>
      <c r="AT46" s="207" t="s">
        <v>291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ht="13.8" x14ac:dyDescent="0.2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1"/>
        <v>R</v>
      </c>
      <c r="F47" s="347"/>
      <c r="G47" s="348">
        <f t="shared" ca="1" si="2"/>
        <v>43</v>
      </c>
      <c r="H47" s="349"/>
      <c r="I47" s="349"/>
      <c r="J47" s="187" t="s">
        <v>383</v>
      </c>
      <c r="K47" s="191"/>
      <c r="M47" s="350"/>
      <c r="N47" s="350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248</v>
      </c>
      <c r="AR47" s="207" t="s">
        <v>146</v>
      </c>
      <c r="AS47" s="207">
        <v>18</v>
      </c>
      <c r="AT47" s="207" t="s">
        <v>249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8" x14ac:dyDescent="0.25">
      <c r="A48" s="223" t="s">
        <v>248</v>
      </c>
      <c r="B48" s="224" t="s">
        <v>146</v>
      </c>
      <c r="C48" s="224">
        <v>18</v>
      </c>
      <c r="D48" s="224" t="s">
        <v>249</v>
      </c>
      <c r="E48" s="225" t="str">
        <f t="shared" ca="1" si="1"/>
        <v>MR</v>
      </c>
      <c r="F48" s="347"/>
      <c r="G48" s="348">
        <f t="shared" ca="1" si="2"/>
        <v>44</v>
      </c>
      <c r="H48" s="349"/>
      <c r="I48" s="349"/>
      <c r="K48" s="191"/>
      <c r="M48" s="350"/>
      <c r="N48" s="350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294</v>
      </c>
      <c r="AR48" s="207" t="s">
        <v>145</v>
      </c>
      <c r="AS48" s="207">
        <v>19</v>
      </c>
      <c r="AT48" s="207" t="s">
        <v>295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ht="13.8" x14ac:dyDescent="0.25">
      <c r="A49" s="223" t="s">
        <v>399</v>
      </c>
      <c r="B49" s="224" t="s">
        <v>146</v>
      </c>
      <c r="C49" s="224">
        <v>18</v>
      </c>
      <c r="D49" s="224" t="s">
        <v>400</v>
      </c>
      <c r="E49" s="225" t="str">
        <f t="shared" ca="1" si="1"/>
        <v>R</v>
      </c>
      <c r="F49" s="347"/>
      <c r="G49" s="348">
        <f t="shared" ca="1" si="2"/>
        <v>50</v>
      </c>
      <c r="H49" s="349"/>
      <c r="I49" s="349"/>
      <c r="J49" s="191"/>
      <c r="K49" s="191"/>
      <c r="M49" s="350"/>
      <c r="N49" s="350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310</v>
      </c>
      <c r="AR49" s="207" t="s">
        <v>147</v>
      </c>
      <c r="AS49" s="207">
        <v>17</v>
      </c>
      <c r="AT49" s="207" t="s">
        <v>311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ht="13.8" x14ac:dyDescent="0.25">
      <c r="A50" s="223" t="s">
        <v>364</v>
      </c>
      <c r="B50" s="224" t="s">
        <v>146</v>
      </c>
      <c r="C50" s="224">
        <v>18</v>
      </c>
      <c r="D50" s="224" t="s">
        <v>365</v>
      </c>
      <c r="E50" s="225" t="str">
        <f t="shared" ca="1" si="1"/>
        <v>R</v>
      </c>
      <c r="F50" s="347"/>
      <c r="G50" s="348">
        <f t="shared" ca="1" si="2"/>
        <v>54</v>
      </c>
      <c r="H50" s="349"/>
      <c r="I50" s="349"/>
      <c r="J50" s="191"/>
      <c r="K50" s="191"/>
      <c r="M50" s="350"/>
      <c r="N50" s="350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357</v>
      </c>
      <c r="AR50" s="207" t="s">
        <v>145</v>
      </c>
      <c r="AS50" s="207">
        <v>19</v>
      </c>
      <c r="AT50" s="207" t="s">
        <v>358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ht="13.8" x14ac:dyDescent="0.2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1"/>
        <v>R</v>
      </c>
      <c r="F51" s="347"/>
      <c r="G51" s="348">
        <f t="shared" ca="1" si="2"/>
        <v>20</v>
      </c>
      <c r="H51" s="349"/>
      <c r="I51" s="349"/>
      <c r="J51" s="191"/>
      <c r="K51" s="191"/>
      <c r="M51" s="350"/>
      <c r="N51" s="350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296</v>
      </c>
      <c r="AR51" s="207" t="s">
        <v>145</v>
      </c>
      <c r="AS51" s="207">
        <v>19</v>
      </c>
      <c r="AT51" s="207" t="s">
        <v>297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ht="13.8" x14ac:dyDescent="0.2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1"/>
        <v>MR</v>
      </c>
      <c r="F52" s="347"/>
      <c r="G52" s="348">
        <f t="shared" ca="1" si="2"/>
        <v>25</v>
      </c>
      <c r="H52" s="349"/>
      <c r="I52" s="349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298</v>
      </c>
      <c r="AR52" s="207" t="s">
        <v>171</v>
      </c>
      <c r="AS52" s="207">
        <v>21</v>
      </c>
      <c r="AT52" s="207" t="s">
        <v>299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1"/>
        <v>MR</v>
      </c>
      <c r="F53" s="347"/>
      <c r="G53" s="348">
        <f t="shared" ca="1" si="2"/>
        <v>27</v>
      </c>
      <c r="H53" s="349"/>
      <c r="I53" s="349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379</v>
      </c>
      <c r="AR53" s="207" t="s">
        <v>145</v>
      </c>
      <c r="AS53" s="207">
        <v>19</v>
      </c>
      <c r="AT53" s="207" t="s">
        <v>385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1"/>
        <v>MR</v>
      </c>
      <c r="F54" s="347"/>
      <c r="G54" s="348">
        <f t="shared" ca="1" si="2"/>
        <v>33</v>
      </c>
      <c r="H54" s="349"/>
      <c r="I54" s="349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399</v>
      </c>
      <c r="AR54" s="207" t="s">
        <v>146</v>
      </c>
      <c r="AS54" s="207">
        <v>18</v>
      </c>
      <c r="AT54" s="207" t="s">
        <v>400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8" x14ac:dyDescent="0.25">
      <c r="A55" s="223" t="s">
        <v>310</v>
      </c>
      <c r="B55" s="224" t="s">
        <v>147</v>
      </c>
      <c r="C55" s="224">
        <v>17</v>
      </c>
      <c r="D55" s="224" t="s">
        <v>311</v>
      </c>
      <c r="E55" s="225" t="str">
        <f t="shared" ca="1" si="1"/>
        <v>R</v>
      </c>
      <c r="F55" s="347"/>
      <c r="G55" s="348">
        <f t="shared" ca="1" si="2"/>
        <v>63</v>
      </c>
      <c r="H55" s="349"/>
      <c r="I55" s="349"/>
      <c r="J55" s="191"/>
      <c r="K55" s="191"/>
      <c r="AF55" s="169">
        <f t="shared" si="3"/>
        <v>1</v>
      </c>
      <c r="AG55" s="169">
        <f t="shared" ca="1" si="4"/>
        <v>1</v>
      </c>
      <c r="AH55" s="169" t="str">
        <f t="shared" ca="1" si="19"/>
        <v/>
      </c>
      <c r="AJ55" s="169">
        <f t="shared" ca="1" si="5"/>
        <v>57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6"/>
        <v>Change</v>
      </c>
      <c r="AQ55" s="207" t="s">
        <v>355</v>
      </c>
      <c r="AR55" s="207" t="s">
        <v>144</v>
      </c>
      <c r="AS55" s="207">
        <v>20</v>
      </c>
      <c r="AT55" s="207" t="s">
        <v>356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292</v>
      </c>
      <c r="B56" s="224" t="s">
        <v>178</v>
      </c>
      <c r="C56" s="224">
        <v>16</v>
      </c>
      <c r="D56" s="224" t="s">
        <v>293</v>
      </c>
      <c r="E56" s="225" t="str">
        <f t="shared" ca="1" si="1"/>
        <v>R</v>
      </c>
      <c r="F56" s="347"/>
      <c r="G56" s="348">
        <f t="shared" ca="1" si="2"/>
        <v>61</v>
      </c>
      <c r="H56" s="349"/>
      <c r="I56" s="349"/>
      <c r="J56" s="191"/>
      <c r="K56" s="191"/>
      <c r="AF56" s="169">
        <f t="shared" si="3"/>
        <v>0</v>
      </c>
      <c r="AG56" s="169" t="str">
        <f t="shared" ca="1" si="4"/>
        <v/>
      </c>
      <c r="AH56" s="169">
        <f t="shared" ca="1" si="19"/>
        <v>1</v>
      </c>
      <c r="AJ56" s="169">
        <f t="shared" ca="1" si="5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6"/>
        <v>Change</v>
      </c>
      <c r="AQ56" s="207" t="s">
        <v>364</v>
      </c>
      <c r="AR56" s="207" t="s">
        <v>146</v>
      </c>
      <c r="AS56" s="207">
        <v>18</v>
      </c>
      <c r="AT56" s="207" t="s">
        <v>365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264</v>
      </c>
      <c r="B57" s="224" t="s">
        <v>180</v>
      </c>
      <c r="C57" s="224">
        <v>15</v>
      </c>
      <c r="D57" s="224" t="s">
        <v>265</v>
      </c>
      <c r="E57" s="225" t="str">
        <f t="shared" ca="1" si="1"/>
        <v>R</v>
      </c>
      <c r="F57" s="347"/>
      <c r="G57" s="348">
        <f t="shared" ca="1" si="2"/>
        <v>59</v>
      </c>
      <c r="H57" s="349"/>
      <c r="I57" s="349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252</v>
      </c>
      <c r="AR57" s="207" t="s">
        <v>144</v>
      </c>
      <c r="AS57" s="207">
        <v>20</v>
      </c>
      <c r="AT57" s="207" t="s">
        <v>253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 t="s">
        <v>381</v>
      </c>
      <c r="B58" s="224" t="s">
        <v>194</v>
      </c>
      <c r="C58" s="224">
        <v>8</v>
      </c>
      <c r="D58" s="224" t="s">
        <v>369</v>
      </c>
      <c r="E58" s="225" t="str">
        <f t="shared" ca="1" si="1"/>
        <v>D</v>
      </c>
      <c r="F58" s="347"/>
      <c r="G58" s="348">
        <f t="shared" ca="1" si="2"/>
        <v>60</v>
      </c>
      <c r="H58" s="349"/>
      <c r="I58" s="349"/>
      <c r="J58" s="191"/>
      <c r="K58" s="191"/>
      <c r="AF58" s="169">
        <f t="shared" si="3"/>
        <v>0</v>
      </c>
      <c r="AG58" s="169" t="str">
        <f t="shared" ca="1" si="4"/>
        <v/>
      </c>
      <c r="AH58" s="169">
        <f t="shared" ca="1" si="19"/>
        <v>1</v>
      </c>
      <c r="AJ58" s="169">
        <f t="shared" ca="1" si="5"/>
        <v>59</v>
      </c>
      <c r="AK58" s="169" t="str">
        <f t="shared" ca="1" si="20"/>
        <v>CCC</v>
      </c>
      <c r="AL58" s="169">
        <f t="shared" ca="1" si="20"/>
        <v>9</v>
      </c>
      <c r="AM58" s="169" t="str">
        <f t="shared" ca="1" si="6"/>
        <v>Change</v>
      </c>
      <c r="AQ58" s="207" t="s">
        <v>256</v>
      </c>
      <c r="AR58" s="207" t="s">
        <v>144</v>
      </c>
      <c r="AS58" s="207">
        <v>20</v>
      </c>
      <c r="AT58" s="207" t="s">
        <v>257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ht="13.8" x14ac:dyDescent="0.25">
      <c r="A59" s="223"/>
      <c r="B59" s="224"/>
      <c r="C59" s="224"/>
      <c r="D59" s="224"/>
      <c r="E59" s="225"/>
      <c r="F59" s="347"/>
      <c r="G59" s="348" t="str">
        <f t="shared" ca="1" si="2"/>
        <v/>
      </c>
      <c r="H59" s="349"/>
      <c r="I59" s="349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8" x14ac:dyDescent="0.25">
      <c r="A60" s="180"/>
      <c r="B60" s="181"/>
      <c r="C60" s="181"/>
      <c r="D60" s="181"/>
      <c r="E60" s="182"/>
      <c r="F60" s="349"/>
      <c r="G60" s="352" t="str">
        <f t="shared" ca="1" si="2"/>
        <v/>
      </c>
      <c r="H60" s="349"/>
      <c r="I60" s="349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.4" thickBot="1" x14ac:dyDescent="0.3">
      <c r="A61" s="192"/>
      <c r="B61" s="193"/>
      <c r="C61" s="193"/>
      <c r="D61" s="193"/>
      <c r="E61" s="194"/>
      <c r="F61" s="349"/>
      <c r="G61" s="352" t="str">
        <f t="shared" ca="1" si="2"/>
        <v/>
      </c>
      <c r="H61" s="349"/>
      <c r="I61" s="349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6" t="s">
        <v>394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2"/>
        <v>31</v>
      </c>
      <c r="H62" s="349"/>
      <c r="I62" s="349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 t="s">
        <v>409</v>
      </c>
      <c r="B63" s="224" t="s">
        <v>146</v>
      </c>
      <c r="C63" s="224">
        <v>18</v>
      </c>
      <c r="D63" s="224" t="s">
        <v>410</v>
      </c>
      <c r="E63" s="225" t="str">
        <f ca="1">OFFSET( INDIRECT( E$3 &amp; E$4 ), $G63 - 1, 0 )</f>
        <v>R</v>
      </c>
      <c r="F63" s="347"/>
      <c r="G63" s="348">
        <f t="shared" ca="1" si="2"/>
        <v>52</v>
      </c>
      <c r="H63" s="349"/>
      <c r="I63" s="349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 t="s">
        <v>411</v>
      </c>
      <c r="B64" s="224"/>
      <c r="C64" s="224"/>
      <c r="D64" s="224" t="s">
        <v>386</v>
      </c>
      <c r="E64" s="225" t="str">
        <f ca="1">OFFSET( INDIRECT( E$3 &amp; E$4 ), $G64 - 1, 0 )</f>
        <v>R</v>
      </c>
      <c r="F64" s="347"/>
      <c r="G64" s="348">
        <f t="shared" ca="1" si="2"/>
        <v>51</v>
      </c>
      <c r="H64" s="349"/>
      <c r="I64" s="349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394</v>
      </c>
      <c r="AR66" s="207" t="s">
        <v>167</v>
      </c>
      <c r="AS66" s="207">
        <v>23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412</v>
      </c>
      <c r="AR67" s="207" t="s">
        <v>146</v>
      </c>
      <c r="AS67" s="207">
        <v>18</v>
      </c>
      <c r="AT67" s="207" t="s">
        <v>410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18.444444444444443</v>
      </c>
      <c r="D68" s="201"/>
      <c r="E68" s="201"/>
      <c r="F68" s="349"/>
      <c r="H68" s="349"/>
      <c r="I68" s="349"/>
      <c r="J68" s="350"/>
      <c r="K68" s="350"/>
      <c r="AQ68" s="207" t="s">
        <v>411</v>
      </c>
      <c r="AR68" s="207"/>
      <c r="AS68" s="207"/>
      <c r="AT68" s="207" t="s">
        <v>386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413</v>
      </c>
      <c r="D74" s="204"/>
      <c r="F74" s="206"/>
      <c r="H74" s="206"/>
      <c r="I74" s="206"/>
    </row>
    <row r="75" spans="1:58" x14ac:dyDescent="0.2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18.574074074074073</v>
      </c>
      <c r="E78" s="191"/>
      <c r="G78" s="352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-- 2013 Q3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8" hidden="1" outlineLevel="1" x14ac:dyDescent="0.25">
      <c r="A2" s="167"/>
      <c r="E2" s="171" t="str">
        <f>G2</f>
        <v>Reg_Percent_2012</v>
      </c>
      <c r="G2" s="172" t="s">
        <v>415</v>
      </c>
      <c r="AJ2" s="173" t="str">
        <f>AJ4 &amp; AJ3</f>
        <v>'Credit_2013Q2'!a:a</v>
      </c>
      <c r="AK2" s="173" t="str">
        <f>AK4 &amp; AK3</f>
        <v>'Credit_2013Q2'!b1</v>
      </c>
      <c r="AL2" s="173" t="str">
        <f>AL4 &amp; AL3</f>
        <v>'Credit_2013Q2'!c1</v>
      </c>
    </row>
    <row r="3" spans="1:61" ht="18" hidden="1" outlineLevel="1" x14ac:dyDescent="0.2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420</v>
      </c>
      <c r="AK4" s="169" t="str">
        <f>AJ4</f>
        <v>'Credit_2013Q2'!</v>
      </c>
      <c r="AL4" s="169" t="str">
        <f>AK4</f>
        <v>'Credit_2013Q2'!</v>
      </c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(55)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217</v>
      </c>
      <c r="B6" s="220" t="s">
        <v>54</v>
      </c>
      <c r="C6" s="249" t="s">
        <v>219</v>
      </c>
      <c r="D6" s="221"/>
      <c r="E6" s="222">
        <v>41274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4" ca="1" si="1">IF( LEN( $D7 ) = 0, "", MATCH( $D7, INDIRECT( G$3 &amp; G$4 ), 0 ) )</f>
        <v>48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I38" ca="1" si="8">OFFSET( AQ$6, $BD7, 0 )</f>
        <v>Southern Company</v>
      </c>
      <c r="BG7" s="173" t="str">
        <f t="shared" ca="1" si="8"/>
        <v>A</v>
      </c>
      <c r="BH7" s="173">
        <f t="shared" ca="1" si="8"/>
        <v>21</v>
      </c>
      <c r="BI7" s="173" t="str">
        <f t="shared" ca="1" si="8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9">COUNTIF($C$7:$C$67,$X8)</f>
        <v>2</v>
      </c>
      <c r="M8" s="214">
        <f t="shared" ref="M8:M13" si="10">IF( L8 = 0, "", L8/L$14 )</f>
        <v>3.6363636363636362E-2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5.8823529411764705E-2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ca="1" si="4"/>
        <v>8</v>
      </c>
      <c r="AK8" s="169" t="str">
        <f t="shared" ref="AK8:AL67" ca="1" si="19">IF( ISNA( $AJ8 ), "", OFFSET( INDIRECT( AK$2 ), $AJ8-1, 0 ) )</f>
        <v>A-</v>
      </c>
      <c r="AL8" s="169">
        <f t="shared" ca="1" si="19"/>
        <v>20</v>
      </c>
      <c r="AM8" s="169" t="str">
        <f t="shared" ca="1" si="5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0">IF( LEN( AS8 ) = 0, 99, RANK( AS8, $AS$7:$AS$63 ) )</f>
        <v>2</v>
      </c>
      <c r="AW8" s="168">
        <f>COUNTIF( AV$7:AV8, AV8 )</f>
        <v>1</v>
      </c>
      <c r="AX8" s="208">
        <f t="shared" ref="AX8:AX63" si="21">AV8 + AW8 / 10</f>
        <v>2.1</v>
      </c>
      <c r="AY8" s="168">
        <f t="shared" ref="AY8:AY63" si="22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8"/>
        <v>A-</v>
      </c>
      <c r="BH8" s="173">
        <f t="shared" ca="1" si="8"/>
        <v>20</v>
      </c>
      <c r="BI8" s="173" t="str">
        <f t="shared" ca="1" si="8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0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9"/>
        <v>11</v>
      </c>
      <c r="M9" s="216">
        <f t="shared" si="10"/>
        <v>0.2</v>
      </c>
      <c r="N9" s="234"/>
      <c r="O9" s="215">
        <f t="shared" ca="1" si="11"/>
        <v>6</v>
      </c>
      <c r="P9" s="216">
        <f t="shared" ca="1" si="12"/>
        <v>0.16666666666666666</v>
      </c>
      <c r="Q9" s="234"/>
      <c r="R9" s="215">
        <f t="shared" ca="1" si="13"/>
        <v>5</v>
      </c>
      <c r="S9" s="216">
        <f t="shared" ca="1" si="14"/>
        <v>0.29411764705882354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4"/>
        <v>9</v>
      </c>
      <c r="AK9" s="169" t="str">
        <f t="shared" ca="1" si="19"/>
        <v>A-</v>
      </c>
      <c r="AL9" s="169">
        <f t="shared" ca="1" si="19"/>
        <v>20</v>
      </c>
      <c r="AM9" s="169" t="str">
        <f t="shared" ca="1" si="5"/>
        <v/>
      </c>
      <c r="AQ9" s="207" t="s">
        <v>230</v>
      </c>
      <c r="AR9" s="207" t="s">
        <v>146</v>
      </c>
      <c r="AS9" s="207">
        <v>18</v>
      </c>
      <c r="AT9" s="207" t="s">
        <v>231</v>
      </c>
      <c r="AV9" s="168">
        <f t="shared" si="20"/>
        <v>25</v>
      </c>
      <c r="AW9" s="168">
        <f>COUNTIF( AV$7:AV9, AV9 )</f>
        <v>1</v>
      </c>
      <c r="AX9" s="208">
        <f t="shared" si="21"/>
        <v>25.1</v>
      </c>
      <c r="AY9" s="168">
        <f t="shared" si="22"/>
        <v>25</v>
      </c>
      <c r="AZ9" s="169"/>
      <c r="BA9" s="169"/>
      <c r="BC9" s="168">
        <f t="shared" ref="BC9:BC63" ca="1" si="23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8"/>
        <v>A-</v>
      </c>
      <c r="BH9" s="173">
        <f t="shared" ca="1" si="8"/>
        <v>20</v>
      </c>
      <c r="BI9" s="173" t="str">
        <f t="shared" ca="1" si="8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0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9"/>
        <v>12</v>
      </c>
      <c r="M10" s="216">
        <f t="shared" si="10"/>
        <v>0.21818181818181817</v>
      </c>
      <c r="N10" s="234"/>
      <c r="O10" s="215">
        <f t="shared" ca="1" si="11"/>
        <v>6</v>
      </c>
      <c r="P10" s="216">
        <f t="shared" ca="1" si="12"/>
        <v>0.16666666666666666</v>
      </c>
      <c r="Q10" s="234"/>
      <c r="R10" s="215">
        <f t="shared" ca="1" si="13"/>
        <v>5</v>
      </c>
      <c r="S10" s="216">
        <f t="shared" ca="1" si="14"/>
        <v>0.29411764705882354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7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4"/>
        <v>10</v>
      </c>
      <c r="AK10" s="169" t="str">
        <f t="shared" ca="1" si="19"/>
        <v>A-</v>
      </c>
      <c r="AL10" s="169">
        <f t="shared" ca="1" si="19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0"/>
        <v>25</v>
      </c>
      <c r="AW10" s="168">
        <f>COUNTIF( AV$7:AV10, AV10 )</f>
        <v>2</v>
      </c>
      <c r="AX10" s="208">
        <f t="shared" si="21"/>
        <v>25.2</v>
      </c>
      <c r="AY10" s="168">
        <f t="shared" si="22"/>
        <v>26</v>
      </c>
      <c r="AZ10" s="169"/>
      <c r="BA10" s="169"/>
      <c r="BC10" s="168">
        <f t="shared" ca="1" si="23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8"/>
        <v>A-</v>
      </c>
      <c r="BH10" s="173">
        <f t="shared" ca="1" si="8"/>
        <v>20</v>
      </c>
      <c r="BI10" s="173" t="str">
        <f t="shared" ca="1" si="8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0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9"/>
        <v>21</v>
      </c>
      <c r="M11" s="216">
        <f t="shared" si="10"/>
        <v>0.38181818181818183</v>
      </c>
      <c r="N11" s="234"/>
      <c r="O11" s="215">
        <f t="shared" ca="1" si="11"/>
        <v>18</v>
      </c>
      <c r="P11" s="216">
        <f t="shared" ca="1" si="12"/>
        <v>0.5</v>
      </c>
      <c r="Q11" s="234"/>
      <c r="R11" s="215">
        <f t="shared" ca="1" si="13"/>
        <v>3</v>
      </c>
      <c r="S11" s="216">
        <f t="shared" ca="1" si="14"/>
        <v>0.17647058823529413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7"/>
        <v>21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4"/>
        <v>11</v>
      </c>
      <c r="AK11" s="169" t="str">
        <f t="shared" ca="1" si="19"/>
        <v>A-</v>
      </c>
      <c r="AL11" s="169">
        <f t="shared" ca="1" si="19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0"/>
        <v>25</v>
      </c>
      <c r="AW11" s="168">
        <f>COUNTIF( AV$7:AV11, AV11 )</f>
        <v>3</v>
      </c>
      <c r="AX11" s="208">
        <f t="shared" si="21"/>
        <v>25.3</v>
      </c>
      <c r="AY11" s="168">
        <f t="shared" si="22"/>
        <v>27</v>
      </c>
      <c r="AZ11" s="169"/>
      <c r="BA11" s="169"/>
      <c r="BC11" s="168">
        <f t="shared" ca="1" si="23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8"/>
        <v>A-</v>
      </c>
      <c r="BH11" s="173">
        <f t="shared" ca="1" si="8"/>
        <v>20</v>
      </c>
      <c r="BI11" s="173" t="str">
        <f t="shared" ca="1" si="8"/>
        <v>D</v>
      </c>
    </row>
    <row r="12" spans="1:61" ht="13.8" x14ac:dyDescent="0.25">
      <c r="A12" s="223" t="s">
        <v>405</v>
      </c>
      <c r="B12" s="224" t="s">
        <v>144</v>
      </c>
      <c r="C12" s="224">
        <v>20</v>
      </c>
      <c r="D12" s="224" t="s">
        <v>406</v>
      </c>
      <c r="E12" s="225" t="str">
        <f t="shared" ca="1" si="0"/>
        <v>R</v>
      </c>
      <c r="F12" s="347"/>
      <c r="G12" s="348">
        <f t="shared" ca="1" si="1"/>
        <v>29</v>
      </c>
      <c r="H12" s="349"/>
      <c r="I12" s="234"/>
      <c r="J12" s="215" t="s">
        <v>147</v>
      </c>
      <c r="K12" s="234"/>
      <c r="L12" s="215">
        <f t="shared" si="9"/>
        <v>6</v>
      </c>
      <c r="M12" s="216">
        <f t="shared" si="10"/>
        <v>0.10909090909090909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3</v>
      </c>
      <c r="S12" s="216">
        <f t="shared" ca="1" si="14"/>
        <v>0.17647058823529413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7"/>
        <v>6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4"/>
        <v>12</v>
      </c>
      <c r="AK12" s="169" t="str">
        <f t="shared" ca="1" si="19"/>
        <v>A-</v>
      </c>
      <c r="AL12" s="169">
        <f t="shared" ca="1" si="19"/>
        <v>20</v>
      </c>
      <c r="AM12" s="169" t="str">
        <f t="shared" ca="1" si="5"/>
        <v/>
      </c>
      <c r="AQ12" s="207" t="s">
        <v>250</v>
      </c>
      <c r="AR12" s="207" t="s">
        <v>146</v>
      </c>
      <c r="AS12" s="207">
        <v>18</v>
      </c>
      <c r="AT12" s="207" t="s">
        <v>251</v>
      </c>
      <c r="AV12" s="168">
        <f t="shared" si="20"/>
        <v>25</v>
      </c>
      <c r="AW12" s="168">
        <f>COUNTIF( AV$7:AV12, AV12 )</f>
        <v>4</v>
      </c>
      <c r="AX12" s="208">
        <f t="shared" si="21"/>
        <v>25.4</v>
      </c>
      <c r="AY12" s="168">
        <f t="shared" si="22"/>
        <v>28</v>
      </c>
      <c r="AZ12" s="169"/>
      <c r="BA12" s="169"/>
      <c r="BC12" s="168">
        <f t="shared" ca="1" si="23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8"/>
        <v>A-</v>
      </c>
      <c r="BH12" s="173">
        <f t="shared" ca="1" si="8"/>
        <v>20</v>
      </c>
      <c r="BI12" s="173" t="str">
        <f t="shared" ca="1" si="8"/>
        <v>TEG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0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9"/>
        <v>3</v>
      </c>
      <c r="M13" s="218">
        <f t="shared" si="10"/>
        <v>5.4545454545454543E-2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1</v>
      </c>
      <c r="V13" s="218">
        <f t="shared" ca="1" si="16"/>
        <v>0.5</v>
      </c>
      <c r="W13" s="235"/>
      <c r="X13" s="186" t="s">
        <v>247</v>
      </c>
      <c r="Y13" s="186">
        <v>16</v>
      </c>
      <c r="Z13" s="186">
        <v>1</v>
      </c>
      <c r="AA13" s="188">
        <f t="shared" ca="1" si="17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4"/>
        <v>13</v>
      </c>
      <c r="AK13" s="169" t="str">
        <f t="shared" ca="1" si="19"/>
        <v>A-</v>
      </c>
      <c r="AL13" s="169">
        <f t="shared" ca="1" si="19"/>
        <v>20</v>
      </c>
      <c r="AM13" s="169" t="str">
        <f t="shared" ca="1" si="5"/>
        <v/>
      </c>
      <c r="AQ13" s="207" t="s">
        <v>254</v>
      </c>
      <c r="AR13" s="207" t="s">
        <v>144</v>
      </c>
      <c r="AS13" s="207">
        <v>20</v>
      </c>
      <c r="AT13" s="207" t="s">
        <v>255</v>
      </c>
      <c r="AV13" s="168">
        <f t="shared" si="20"/>
        <v>2</v>
      </c>
      <c r="AW13" s="168">
        <f>COUNTIF( AV$7:AV13, AV13 )</f>
        <v>2</v>
      </c>
      <c r="AX13" s="208">
        <f t="shared" si="21"/>
        <v>2.2000000000000002</v>
      </c>
      <c r="AY13" s="168">
        <f t="shared" si="22"/>
        <v>3</v>
      </c>
      <c r="AZ13" s="169"/>
      <c r="BA13" s="169"/>
      <c r="BC13" s="168">
        <f t="shared" ca="1" si="23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8"/>
        <v>A-</v>
      </c>
      <c r="BH13" s="173">
        <f t="shared" ca="1" si="8"/>
        <v>20</v>
      </c>
      <c r="BI13" s="173" t="str">
        <f t="shared" ca="1" si="8"/>
        <v>NEE</v>
      </c>
    </row>
    <row r="14" spans="1:61" ht="13.8" x14ac:dyDescent="0.25">
      <c r="A14" s="223" t="s">
        <v>404</v>
      </c>
      <c r="B14" s="224" t="s">
        <v>144</v>
      </c>
      <c r="C14" s="224">
        <v>20</v>
      </c>
      <c r="D14" s="224" t="s">
        <v>241</v>
      </c>
      <c r="E14" s="225" t="str">
        <f t="shared" ca="1" si="0"/>
        <v>R</v>
      </c>
      <c r="F14" s="347"/>
      <c r="G14" s="348">
        <f t="shared" ca="1" si="1"/>
        <v>34</v>
      </c>
      <c r="H14" s="349"/>
      <c r="I14" s="236"/>
      <c r="J14" s="211" t="s">
        <v>149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18.509090909090908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4"/>
        <v>14</v>
      </c>
      <c r="AK14" s="169" t="str">
        <f t="shared" ca="1" si="19"/>
        <v>A-</v>
      </c>
      <c r="AL14" s="169">
        <f t="shared" ca="1" si="19"/>
        <v>20</v>
      </c>
      <c r="AM14" s="169" t="str">
        <f t="shared" ca="1" si="5"/>
        <v/>
      </c>
      <c r="AQ14" s="207" t="s">
        <v>259</v>
      </c>
      <c r="AR14" s="207" t="s">
        <v>145</v>
      </c>
      <c r="AS14" s="207">
        <v>19</v>
      </c>
      <c r="AT14" s="207" t="s">
        <v>388</v>
      </c>
      <c r="AV14" s="168">
        <f>IF( LEN( AS14 ) = 0, 99, RANK( AS14, $AS$7:$AS$63 ) )</f>
        <v>13</v>
      </c>
      <c r="AW14" s="168">
        <f>COUNTIF( AV$7:AV14, AV14 )</f>
        <v>2</v>
      </c>
      <c r="AX14" s="208">
        <f t="shared" si="21"/>
        <v>13.2</v>
      </c>
      <c r="AY14" s="168">
        <f t="shared" si="22"/>
        <v>14</v>
      </c>
      <c r="AZ14" s="169"/>
      <c r="BA14" s="169"/>
      <c r="BC14" s="168">
        <f t="shared" ca="1" si="23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8"/>
        <v>A-</v>
      </c>
      <c r="BH14" s="173">
        <f t="shared" ca="1" si="8"/>
        <v>20</v>
      </c>
      <c r="BI14" s="173" t="str">
        <f t="shared" ca="1" si="8"/>
        <v>ES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0"/>
        <v>MR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4"/>
        <v>15</v>
      </c>
      <c r="AK15" s="169" t="str">
        <f t="shared" ca="1" si="19"/>
        <v>A-</v>
      </c>
      <c r="AL15" s="169">
        <f t="shared" ca="1" si="19"/>
        <v>20</v>
      </c>
      <c r="AM15" s="169" t="str">
        <f t="shared" ca="1" si="5"/>
        <v/>
      </c>
      <c r="AQ15" s="207" t="s">
        <v>261</v>
      </c>
      <c r="AR15" s="207" t="s">
        <v>146</v>
      </c>
      <c r="AS15" s="207">
        <v>18</v>
      </c>
      <c r="AT15" s="207" t="s">
        <v>262</v>
      </c>
      <c r="AV15" s="168">
        <f t="shared" si="20"/>
        <v>25</v>
      </c>
      <c r="AW15" s="168">
        <f>COUNTIF( AV$7:AV15, AV15 )</f>
        <v>5</v>
      </c>
      <c r="AX15" s="208">
        <f t="shared" si="21"/>
        <v>25.5</v>
      </c>
      <c r="AY15" s="168">
        <f t="shared" si="22"/>
        <v>29</v>
      </c>
      <c r="AZ15" s="169"/>
      <c r="BA15" s="169"/>
      <c r="BC15" s="168">
        <f t="shared" ca="1" si="23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8"/>
        <v>A-</v>
      </c>
      <c r="BH15" s="173">
        <f t="shared" ca="1" si="8"/>
        <v>20</v>
      </c>
      <c r="BI15" s="173" t="str">
        <f t="shared" ca="1" si="8"/>
        <v>OGE</v>
      </c>
    </row>
    <row r="16" spans="1:61" ht="13.8" x14ac:dyDescent="0.25">
      <c r="A16" s="223" t="s">
        <v>355</v>
      </c>
      <c r="B16" s="224" t="s">
        <v>144</v>
      </c>
      <c r="C16" s="224">
        <v>20</v>
      </c>
      <c r="D16" s="224" t="s">
        <v>356</v>
      </c>
      <c r="E16" s="225" t="str">
        <f t="shared" ca="1" si="0"/>
        <v>MR</v>
      </c>
      <c r="F16" s="347"/>
      <c r="G16" s="348">
        <f t="shared" ca="1" si="1"/>
        <v>53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18.399999999999999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18.361111111111111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14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4"/>
        <v>16</v>
      </c>
      <c r="AK16" s="169" t="str">
        <f t="shared" ca="1" si="19"/>
        <v>A-</v>
      </c>
      <c r="AL16" s="169">
        <f t="shared" ca="1" si="19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0"/>
        <v>2</v>
      </c>
      <c r="AW16" s="168">
        <f>COUNTIF( AV$7:AV16, AV16 )</f>
        <v>3</v>
      </c>
      <c r="AX16" s="208">
        <f t="shared" si="21"/>
        <v>2.2999999999999998</v>
      </c>
      <c r="AY16" s="168">
        <f t="shared" si="22"/>
        <v>4</v>
      </c>
      <c r="AZ16" s="169"/>
      <c r="BA16" s="169"/>
      <c r="BC16" s="168">
        <f t="shared" ca="1" si="23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8"/>
        <v>A-</v>
      </c>
      <c r="BH16" s="173">
        <f t="shared" ca="1" si="8"/>
        <v>20</v>
      </c>
      <c r="BI16" s="173" t="str">
        <f t="shared" ca="1" si="8"/>
        <v>VVC</v>
      </c>
    </row>
    <row r="17" spans="1:61" ht="13.8" x14ac:dyDescent="0.2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0"/>
        <v>R</v>
      </c>
      <c r="F17" s="347"/>
      <c r="G17" s="348">
        <f t="shared" ca="1" si="1"/>
        <v>55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4"/>
        <v>17</v>
      </c>
      <c r="AK17" s="169" t="str">
        <f t="shared" ca="1" si="19"/>
        <v>A-</v>
      </c>
      <c r="AL17" s="169">
        <f t="shared" ca="1" si="19"/>
        <v>20</v>
      </c>
      <c r="AM17" s="169" t="str">
        <f t="shared" ca="1" si="5"/>
        <v/>
      </c>
      <c r="AQ17" s="207" t="s">
        <v>371</v>
      </c>
      <c r="AR17" s="207" t="s">
        <v>144</v>
      </c>
      <c r="AS17" s="207">
        <v>20</v>
      </c>
      <c r="AT17" s="207" t="s">
        <v>199</v>
      </c>
      <c r="AV17" s="168">
        <f t="shared" si="20"/>
        <v>2</v>
      </c>
      <c r="AW17" s="168">
        <f>COUNTIF( AV$7:AV17, AV17 )</f>
        <v>4</v>
      </c>
      <c r="AX17" s="208">
        <f t="shared" si="21"/>
        <v>2.4</v>
      </c>
      <c r="AY17" s="168">
        <f t="shared" si="22"/>
        <v>5</v>
      </c>
      <c r="AZ17" s="169"/>
      <c r="BA17" s="169"/>
      <c r="BC17" s="168">
        <f t="shared" ca="1" si="23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8"/>
        <v>A-</v>
      </c>
      <c r="BH17" s="173">
        <f t="shared" ca="1" si="8"/>
        <v>20</v>
      </c>
      <c r="BI17" s="173" t="str">
        <f t="shared" ca="1" si="8"/>
        <v>WEC</v>
      </c>
    </row>
    <row r="18" spans="1:61" ht="13.8" x14ac:dyDescent="0.2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0"/>
        <v>R</v>
      </c>
      <c r="F18" s="347"/>
      <c r="G18" s="348">
        <f t="shared" ca="1" si="1"/>
        <v>56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4"/>
        <v>18</v>
      </c>
      <c r="AK18" s="169" t="str">
        <f t="shared" ca="1" si="19"/>
        <v>A-</v>
      </c>
      <c r="AL18" s="169">
        <f t="shared" ca="1" si="19"/>
        <v>20</v>
      </c>
      <c r="AM18" s="169" t="str">
        <f t="shared" ca="1" si="5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0"/>
        <v>52</v>
      </c>
      <c r="AW18" s="168">
        <f>COUNTIF( AV$7:AV18, AV18 )</f>
        <v>1</v>
      </c>
      <c r="AX18" s="208">
        <f t="shared" si="21"/>
        <v>52.1</v>
      </c>
      <c r="AY18" s="168">
        <f t="shared" si="22"/>
        <v>52</v>
      </c>
      <c r="AZ18" s="169"/>
      <c r="BA18" s="169"/>
      <c r="BC18" s="168">
        <f t="shared" ca="1" si="23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8"/>
        <v>A-</v>
      </c>
      <c r="BH18" s="173">
        <f t="shared" ca="1" si="8"/>
        <v>20</v>
      </c>
      <c r="BI18" s="173" t="str">
        <f t="shared" ca="1" si="8"/>
        <v>XEL</v>
      </c>
    </row>
    <row r="19" spans="1:61" ht="13.8" x14ac:dyDescent="0.25">
      <c r="A19" s="223" t="s">
        <v>222</v>
      </c>
      <c r="B19" s="224" t="s">
        <v>145</v>
      </c>
      <c r="C19" s="224">
        <v>19</v>
      </c>
      <c r="D19" s="224" t="s">
        <v>223</v>
      </c>
      <c r="E19" s="225" t="str">
        <f t="shared" ca="1" si="0"/>
        <v>R</v>
      </c>
      <c r="F19" s="347"/>
      <c r="G19" s="348">
        <f t="shared" ca="1" si="1"/>
        <v>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4"/>
        <v>19</v>
      </c>
      <c r="AK19" s="169" t="str">
        <f t="shared" ca="1" si="19"/>
        <v>BBB+</v>
      </c>
      <c r="AL19" s="169">
        <f t="shared" ca="1" si="19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0"/>
        <v>13</v>
      </c>
      <c r="AW19" s="168">
        <f>COUNTIF( AV$7:AV19, AV19 )</f>
        <v>3</v>
      </c>
      <c r="AX19" s="208">
        <f t="shared" si="21"/>
        <v>13.3</v>
      </c>
      <c r="AY19" s="168">
        <f t="shared" si="22"/>
        <v>15</v>
      </c>
      <c r="AZ19" s="169"/>
      <c r="BA19" s="169"/>
      <c r="BC19" s="168">
        <f t="shared" ca="1" si="23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8"/>
        <v>BBB+</v>
      </c>
      <c r="BH19" s="173">
        <f t="shared" ca="1" si="8"/>
        <v>19</v>
      </c>
      <c r="BI19" s="173" t="str">
        <f t="shared" ca="1" si="8"/>
        <v>ALE</v>
      </c>
    </row>
    <row r="20" spans="1:61" ht="13.8" x14ac:dyDescent="0.25">
      <c r="A20" s="223" t="s">
        <v>259</v>
      </c>
      <c r="B20" s="224" t="s">
        <v>145</v>
      </c>
      <c r="C20" s="224">
        <v>19</v>
      </c>
      <c r="D20" s="224" t="s">
        <v>388</v>
      </c>
      <c r="E20" s="225" t="str">
        <f t="shared" ca="1" si="0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>
        <f t="shared" ca="1" si="3"/>
        <v>1</v>
      </c>
      <c r="AH20" s="169" t="str">
        <f t="shared" ca="1" si="18"/>
        <v/>
      </c>
      <c r="AJ20" s="169">
        <f t="shared" ca="1" si="4"/>
        <v>33</v>
      </c>
      <c r="AK20" s="169" t="str">
        <f t="shared" ca="1" si="19"/>
        <v>BBB</v>
      </c>
      <c r="AL20" s="169">
        <f t="shared" ca="1" si="19"/>
        <v>18</v>
      </c>
      <c r="AM20" s="169" t="str">
        <f t="shared" ca="1" si="5"/>
        <v>Change</v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0"/>
        <v>13</v>
      </c>
      <c r="AW20" s="168">
        <f>COUNTIF( AV$7:AV20, AV20 )</f>
        <v>4</v>
      </c>
      <c r="AX20" s="208">
        <f t="shared" si="21"/>
        <v>13.4</v>
      </c>
      <c r="AY20" s="168">
        <f t="shared" si="22"/>
        <v>16</v>
      </c>
      <c r="AZ20" s="169"/>
      <c r="BA20" s="169"/>
      <c r="BC20" s="168">
        <f t="shared" ca="1" si="23"/>
        <v>14</v>
      </c>
      <c r="BD20" s="209">
        <f t="shared" ca="1" si="7"/>
        <v>8</v>
      </c>
      <c r="BF20" s="173" t="str">
        <f t="shared" ca="1" si="8"/>
        <v>Cleco Corporation</v>
      </c>
      <c r="BG20" s="173" t="str">
        <f t="shared" ca="1" si="8"/>
        <v>BBB+</v>
      </c>
      <c r="BH20" s="173">
        <f t="shared" ca="1" si="8"/>
        <v>19</v>
      </c>
      <c r="BI20" s="173" t="str">
        <f t="shared" ca="1" si="8"/>
        <v>CNL</v>
      </c>
    </row>
    <row r="21" spans="1:61" ht="13.8" x14ac:dyDescent="0.25">
      <c r="A21" s="223" t="s">
        <v>266</v>
      </c>
      <c r="B21" s="224" t="s">
        <v>145</v>
      </c>
      <c r="C21" s="224">
        <v>19</v>
      </c>
      <c r="D21" s="224" t="s">
        <v>267</v>
      </c>
      <c r="E21" s="225" t="str">
        <f t="shared" ca="1" si="0"/>
        <v>R</v>
      </c>
      <c r="F21" s="347"/>
      <c r="G21" s="348">
        <f t="shared" ca="1" si="1"/>
        <v>18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4"/>
        <v>20</v>
      </c>
      <c r="AK21" s="169" t="str">
        <f t="shared" ca="1" si="19"/>
        <v>BBB+</v>
      </c>
      <c r="AL21" s="169">
        <f t="shared" ca="1" si="19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0"/>
        <v>45</v>
      </c>
      <c r="AW21" s="168">
        <f>COUNTIF( AV$7:AV21, AV21 )</f>
        <v>1</v>
      </c>
      <c r="AX21" s="208">
        <f t="shared" si="21"/>
        <v>45.1</v>
      </c>
      <c r="AY21" s="168">
        <f t="shared" si="22"/>
        <v>45</v>
      </c>
      <c r="AZ21" s="169"/>
      <c r="BA21" s="169"/>
      <c r="BC21" s="168">
        <f t="shared" ca="1" si="23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8"/>
        <v>BBB+</v>
      </c>
      <c r="BH21" s="173">
        <f t="shared" ca="1" si="8"/>
        <v>19</v>
      </c>
      <c r="BI21" s="173" t="str">
        <f t="shared" ca="1" si="8"/>
        <v>DTE</v>
      </c>
    </row>
    <row r="22" spans="1:61" ht="13.8" x14ac:dyDescent="0.25">
      <c r="A22" s="223" t="s">
        <v>268</v>
      </c>
      <c r="B22" s="224" t="s">
        <v>145</v>
      </c>
      <c r="C22" s="224">
        <v>19</v>
      </c>
      <c r="D22" s="224" t="s">
        <v>269</v>
      </c>
      <c r="E22" s="225" t="str">
        <f t="shared" ca="1" si="0"/>
        <v>R</v>
      </c>
      <c r="F22" s="347"/>
      <c r="G22" s="348">
        <f t="shared" ca="1" si="1"/>
        <v>19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4"/>
        <v>21</v>
      </c>
      <c r="AK22" s="169" t="str">
        <f t="shared" ca="1" si="19"/>
        <v>BBB+</v>
      </c>
      <c r="AL22" s="169">
        <f t="shared" ca="1" si="19"/>
        <v>19</v>
      </c>
      <c r="AM22" s="169" t="str">
        <f t="shared" ca="1" si="5"/>
        <v/>
      </c>
      <c r="AQ22" s="207" t="s">
        <v>338</v>
      </c>
      <c r="AR22" s="207" t="s">
        <v>146</v>
      </c>
      <c r="AS22" s="207">
        <v>18</v>
      </c>
      <c r="AT22" s="207" t="s">
        <v>341</v>
      </c>
      <c r="AV22" s="168">
        <f t="shared" si="20"/>
        <v>25</v>
      </c>
      <c r="AW22" s="168">
        <f>COUNTIF( AV$7:AV22, AV22 )</f>
        <v>6</v>
      </c>
      <c r="AX22" s="208">
        <f t="shared" si="21"/>
        <v>25.6</v>
      </c>
      <c r="AY22" s="168">
        <f t="shared" si="22"/>
        <v>30</v>
      </c>
      <c r="AZ22" s="169"/>
      <c r="BA22" s="169"/>
      <c r="BC22" s="168">
        <f t="shared" ca="1" si="23"/>
        <v>16</v>
      </c>
      <c r="BD22" s="209">
        <f t="shared" ca="1" si="7"/>
        <v>14</v>
      </c>
      <c r="BF22" s="173" t="str">
        <f t="shared" ca="1" si="8"/>
        <v>Duke Energy Corporation</v>
      </c>
      <c r="BG22" s="173" t="str">
        <f t="shared" ca="1" si="8"/>
        <v>BBB+</v>
      </c>
      <c r="BH22" s="173">
        <f t="shared" ca="1" si="8"/>
        <v>19</v>
      </c>
      <c r="BI22" s="173" t="str">
        <f t="shared" ca="1" si="8"/>
        <v>DUK</v>
      </c>
    </row>
    <row r="23" spans="1:61" ht="13.8" x14ac:dyDescent="0.25">
      <c r="A23" s="223" t="s">
        <v>276</v>
      </c>
      <c r="B23" s="224" t="s">
        <v>145</v>
      </c>
      <c r="C23" s="224">
        <v>19</v>
      </c>
      <c r="D23" s="224" t="s">
        <v>277</v>
      </c>
      <c r="E23" s="225" t="str">
        <f t="shared" ca="1" si="0"/>
        <v>D</v>
      </c>
      <c r="F23" s="347"/>
      <c r="G23" s="348">
        <f t="shared" ca="1" si="1"/>
        <v>30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4"/>
        <v>22</v>
      </c>
      <c r="AK23" s="169" t="str">
        <f t="shared" ca="1" si="19"/>
        <v>BBB+</v>
      </c>
      <c r="AL23" s="169">
        <f t="shared" ca="1" si="19"/>
        <v>19</v>
      </c>
      <c r="AM23" s="169" t="str">
        <f t="shared" ca="1" si="5"/>
        <v/>
      </c>
      <c r="AQ23" s="207" t="s">
        <v>377</v>
      </c>
      <c r="AR23" s="207" t="s">
        <v>146</v>
      </c>
      <c r="AS23" s="207">
        <v>18</v>
      </c>
      <c r="AT23" s="207" t="s">
        <v>378</v>
      </c>
      <c r="AV23" s="168">
        <f t="shared" si="20"/>
        <v>25</v>
      </c>
      <c r="AW23" s="168">
        <f>COUNTIF( AV$7:AV23, AV23 )</f>
        <v>7</v>
      </c>
      <c r="AX23" s="208">
        <f t="shared" si="21"/>
        <v>25.7</v>
      </c>
      <c r="AY23" s="168">
        <f t="shared" si="22"/>
        <v>31</v>
      </c>
      <c r="AZ23" s="169"/>
      <c r="BA23" s="169"/>
      <c r="BC23" s="168">
        <f t="shared" ca="1" si="23"/>
        <v>17</v>
      </c>
      <c r="BD23" s="209">
        <f t="shared" ca="1" si="7"/>
        <v>28</v>
      </c>
      <c r="BF23" s="173" t="str">
        <f t="shared" ca="1" si="8"/>
        <v>MDU Resources Group, Inc.</v>
      </c>
      <c r="BG23" s="173" t="str">
        <f t="shared" ca="1" si="8"/>
        <v>BBB+</v>
      </c>
      <c r="BH23" s="173">
        <f t="shared" ca="1" si="8"/>
        <v>19</v>
      </c>
      <c r="BI23" s="173" t="str">
        <f t="shared" ca="1" si="8"/>
        <v>MDU</v>
      </c>
    </row>
    <row r="24" spans="1:61" ht="13.8" x14ac:dyDescent="0.25">
      <c r="A24" s="223" t="s">
        <v>418</v>
      </c>
      <c r="B24" s="224" t="s">
        <v>145</v>
      </c>
      <c r="C24" s="224">
        <v>19</v>
      </c>
      <c r="D24" s="224" t="s">
        <v>221</v>
      </c>
      <c r="E24" s="225" t="str">
        <f t="shared" ca="1" si="0"/>
        <v>MR</v>
      </c>
      <c r="F24" s="347"/>
      <c r="G24" s="348">
        <f t="shared" ca="1" si="1"/>
        <v>62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4"/>
        <v>23</v>
      </c>
      <c r="AK24" s="169" t="str">
        <f t="shared" ca="1" si="19"/>
        <v>BBB+</v>
      </c>
      <c r="AL24" s="169">
        <f t="shared" ca="1" si="19"/>
        <v>19</v>
      </c>
      <c r="AM24" s="169" t="str">
        <f t="shared" ca="1" si="5"/>
        <v/>
      </c>
      <c r="AQ24" s="207" t="s">
        <v>381</v>
      </c>
      <c r="AR24" s="207" t="s">
        <v>192</v>
      </c>
      <c r="AS24" s="207">
        <v>9</v>
      </c>
      <c r="AT24" s="207" t="s">
        <v>369</v>
      </c>
      <c r="AV24" s="168">
        <f t="shared" si="20"/>
        <v>53</v>
      </c>
      <c r="AW24" s="168">
        <f>COUNTIF( AV$7:AV24, AV24 )</f>
        <v>1</v>
      </c>
      <c r="AX24" s="208">
        <f t="shared" si="21"/>
        <v>53.1</v>
      </c>
      <c r="AY24" s="168">
        <f t="shared" si="22"/>
        <v>53</v>
      </c>
      <c r="AZ24" s="169"/>
      <c r="BA24" s="169"/>
      <c r="BC24" s="168">
        <f t="shared" ca="1" si="23"/>
        <v>18</v>
      </c>
      <c r="BD24" s="209">
        <f t="shared" ca="1" si="7"/>
        <v>29</v>
      </c>
      <c r="BF24" s="173" t="str">
        <f t="shared" ca="1" si="8"/>
        <v>MidAmerican Energy Holdings Company</v>
      </c>
      <c r="BG24" s="173" t="str">
        <f t="shared" ca="1" si="8"/>
        <v>BBB+</v>
      </c>
      <c r="BH24" s="173">
        <f t="shared" ca="1" si="8"/>
        <v>19</v>
      </c>
      <c r="BI24" s="173" t="str">
        <f t="shared" ca="1" si="8"/>
        <v>**BRK</v>
      </c>
    </row>
    <row r="25" spans="1:61" ht="13.8" x14ac:dyDescent="0.25">
      <c r="A25" s="223" t="s">
        <v>392</v>
      </c>
      <c r="B25" s="224" t="s">
        <v>145</v>
      </c>
      <c r="C25" s="224">
        <v>19</v>
      </c>
      <c r="D25" s="224" t="s">
        <v>393</v>
      </c>
      <c r="E25" s="225" t="str">
        <f t="shared" ca="1" si="0"/>
        <v>MR</v>
      </c>
      <c r="F25" s="347"/>
      <c r="G25" s="348">
        <f t="shared" ca="1" si="1"/>
        <v>39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4"/>
        <v>24</v>
      </c>
      <c r="AK25" s="169" t="str">
        <f t="shared" ca="1" si="19"/>
        <v>BBB+</v>
      </c>
      <c r="AL25" s="169">
        <f t="shared" ca="1" si="19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0"/>
        <v>25</v>
      </c>
      <c r="AW25" s="168">
        <f>COUNTIF( AV$7:AV25, AV25 )</f>
        <v>8</v>
      </c>
      <c r="AX25" s="208">
        <f t="shared" si="21"/>
        <v>25.8</v>
      </c>
      <c r="AY25" s="168">
        <f t="shared" si="22"/>
        <v>32</v>
      </c>
      <c r="AZ25" s="169"/>
      <c r="BA25" s="169"/>
      <c r="BC25" s="168">
        <f t="shared" ca="1" si="23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8"/>
        <v>BBB+</v>
      </c>
      <c r="BH25" s="173">
        <f t="shared" ca="1" si="8"/>
        <v>19</v>
      </c>
      <c r="BI25" s="173" t="str">
        <f t="shared" ca="1" si="8"/>
        <v>POM</v>
      </c>
    </row>
    <row r="26" spans="1:61" ht="13.8" x14ac:dyDescent="0.25">
      <c r="A26" s="223" t="s">
        <v>286</v>
      </c>
      <c r="B26" s="224" t="s">
        <v>145</v>
      </c>
      <c r="C26" s="224">
        <v>19</v>
      </c>
      <c r="D26" s="224" t="s">
        <v>287</v>
      </c>
      <c r="E26" s="225" t="str">
        <f t="shared" ca="1" si="0"/>
        <v>R</v>
      </c>
      <c r="F26" s="347"/>
      <c r="G26" s="348">
        <f t="shared" ca="1" si="1"/>
        <v>41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4"/>
        <v>25</v>
      </c>
      <c r="AK26" s="169" t="str">
        <f t="shared" ca="1" si="19"/>
        <v>BBB+</v>
      </c>
      <c r="AL26" s="169">
        <f t="shared" ca="1" si="19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0"/>
        <v>25</v>
      </c>
      <c r="AW26" s="168">
        <f>COUNTIF( AV$7:AV26, AV26 )</f>
        <v>9</v>
      </c>
      <c r="AX26" s="208">
        <f t="shared" si="21"/>
        <v>25.9</v>
      </c>
      <c r="AY26" s="168">
        <f t="shared" si="22"/>
        <v>33</v>
      </c>
      <c r="AZ26" s="169"/>
      <c r="BA26" s="169"/>
      <c r="BC26" s="168">
        <f t="shared" ca="1" si="23"/>
        <v>20</v>
      </c>
      <c r="BD26" s="209">
        <f t="shared" ca="1" si="7"/>
        <v>39</v>
      </c>
      <c r="BF26" s="173" t="str">
        <f t="shared" ca="1" si="8"/>
        <v>Pinnacle West Capital Corporation</v>
      </c>
      <c r="BG26" s="173" t="str">
        <f t="shared" ca="1" si="8"/>
        <v>BBB+</v>
      </c>
      <c r="BH26" s="173">
        <f t="shared" ca="1" si="8"/>
        <v>19</v>
      </c>
      <c r="BI26" s="173" t="str">
        <f t="shared" ca="1" si="8"/>
        <v>PNW</v>
      </c>
    </row>
    <row r="27" spans="1:61" ht="13.8" x14ac:dyDescent="0.25">
      <c r="A27" s="223" t="s">
        <v>294</v>
      </c>
      <c r="B27" s="224" t="s">
        <v>145</v>
      </c>
      <c r="C27" s="224">
        <v>19</v>
      </c>
      <c r="D27" s="224" t="s">
        <v>295</v>
      </c>
      <c r="E27" s="225" t="str">
        <f t="shared" ca="1" si="0"/>
        <v>MR</v>
      </c>
      <c r="F27" s="347"/>
      <c r="G27" s="348">
        <f t="shared" ca="1" si="1"/>
        <v>45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4"/>
        <v>26</v>
      </c>
      <c r="AK27" s="169" t="str">
        <f t="shared" ca="1" si="19"/>
        <v>BBB+</v>
      </c>
      <c r="AL27" s="169">
        <f t="shared" ca="1" si="19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0"/>
        <v>45</v>
      </c>
      <c r="AW27" s="168">
        <f>COUNTIF( AV$7:AV27, AV27 )</f>
        <v>2</v>
      </c>
      <c r="AX27" s="208">
        <f t="shared" si="21"/>
        <v>45.2</v>
      </c>
      <c r="AY27" s="168">
        <f t="shared" si="22"/>
        <v>46</v>
      </c>
      <c r="AZ27" s="169"/>
      <c r="BA27" s="169"/>
      <c r="BC27" s="168">
        <f t="shared" ca="1" si="23"/>
        <v>21</v>
      </c>
      <c r="BD27" s="209">
        <f t="shared" ca="1" si="7"/>
        <v>43</v>
      </c>
      <c r="BF27" s="173" t="str">
        <f t="shared" ca="1" si="8"/>
        <v>Public Service Enterprise Group Incorporated</v>
      </c>
      <c r="BG27" s="173" t="str">
        <f t="shared" ca="1" si="8"/>
        <v>BBB+</v>
      </c>
      <c r="BH27" s="173">
        <f t="shared" ca="1" si="8"/>
        <v>19</v>
      </c>
      <c r="BI27" s="173" t="str">
        <f t="shared" ca="1" si="8"/>
        <v>PEG</v>
      </c>
    </row>
    <row r="28" spans="1:61" ht="13.8" x14ac:dyDescent="0.25">
      <c r="A28" s="223" t="s">
        <v>357</v>
      </c>
      <c r="B28" s="224" t="s">
        <v>145</v>
      </c>
      <c r="C28" s="224">
        <v>19</v>
      </c>
      <c r="D28" s="224" t="s">
        <v>358</v>
      </c>
      <c r="E28" s="225" t="str">
        <f t="shared" ca="1" si="0"/>
        <v>MR</v>
      </c>
      <c r="F28" s="347"/>
      <c r="G28" s="348">
        <f t="shared" ca="1" si="1"/>
        <v>46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4"/>
        <v>27</v>
      </c>
      <c r="AK28" s="169" t="str">
        <f t="shared" ca="1" si="19"/>
        <v>BBB+</v>
      </c>
      <c r="AL28" s="169">
        <f t="shared" ca="1" si="19"/>
        <v>19</v>
      </c>
      <c r="AM28" s="169" t="str">
        <f t="shared" ca="1" si="5"/>
        <v/>
      </c>
      <c r="AQ28" s="207" t="s">
        <v>362</v>
      </c>
      <c r="AR28" s="207" t="s">
        <v>146</v>
      </c>
      <c r="AS28" s="207">
        <v>18</v>
      </c>
      <c r="AT28" s="207" t="s">
        <v>363</v>
      </c>
      <c r="AV28" s="168">
        <f t="shared" si="20"/>
        <v>25</v>
      </c>
      <c r="AW28" s="168">
        <f>COUNTIF( AV$7:AV28, AV28 )</f>
        <v>10</v>
      </c>
      <c r="AX28" s="208">
        <f t="shared" si="21"/>
        <v>26</v>
      </c>
      <c r="AY28" s="168">
        <f t="shared" si="22"/>
        <v>34</v>
      </c>
      <c r="AZ28" s="169"/>
      <c r="BA28" s="169"/>
      <c r="BC28" s="168">
        <f t="shared" ca="1" si="23"/>
        <v>22</v>
      </c>
      <c r="BD28" s="209">
        <f t="shared" ca="1" si="7"/>
        <v>45</v>
      </c>
      <c r="BF28" s="173" t="str">
        <f t="shared" ca="1" si="8"/>
        <v>SCANA Corporation</v>
      </c>
      <c r="BG28" s="173" t="str">
        <f t="shared" ca="1" si="8"/>
        <v>BBB+</v>
      </c>
      <c r="BH28" s="173">
        <f t="shared" ca="1" si="8"/>
        <v>19</v>
      </c>
      <c r="BI28" s="173" t="str">
        <f t="shared" ca="1" si="8"/>
        <v>SCG</v>
      </c>
    </row>
    <row r="29" spans="1:61" ht="13.8" x14ac:dyDescent="0.25">
      <c r="A29" s="223" t="s">
        <v>296</v>
      </c>
      <c r="B29" s="224" t="s">
        <v>145</v>
      </c>
      <c r="C29" s="224">
        <v>19</v>
      </c>
      <c r="D29" s="224" t="s">
        <v>297</v>
      </c>
      <c r="E29" s="225" t="str">
        <f t="shared" ca="1" si="0"/>
        <v>MR</v>
      </c>
      <c r="F29" s="347"/>
      <c r="G29" s="348">
        <f t="shared" ca="1" si="1"/>
        <v>47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4"/>
        <v>28</v>
      </c>
      <c r="AK29" s="169" t="str">
        <f t="shared" ca="1" si="19"/>
        <v>BBB+</v>
      </c>
      <c r="AL29" s="169">
        <f t="shared" ca="1" si="19"/>
        <v>19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0"/>
        <v>45</v>
      </c>
      <c r="AW29" s="168">
        <f>COUNTIF( AV$7:AV29, AV29 )</f>
        <v>3</v>
      </c>
      <c r="AX29" s="208">
        <f t="shared" si="21"/>
        <v>45.3</v>
      </c>
      <c r="AY29" s="168">
        <f t="shared" si="22"/>
        <v>47</v>
      </c>
      <c r="AZ29" s="169"/>
      <c r="BA29" s="169"/>
      <c r="BC29" s="168">
        <f t="shared" ca="1" si="23"/>
        <v>23</v>
      </c>
      <c r="BD29" s="209">
        <f t="shared" ca="1" si="7"/>
        <v>46</v>
      </c>
      <c r="BF29" s="173" t="str">
        <f t="shared" ca="1" si="8"/>
        <v>Sempra Energy</v>
      </c>
      <c r="BG29" s="173" t="str">
        <f t="shared" ca="1" si="8"/>
        <v>BBB+</v>
      </c>
      <c r="BH29" s="173">
        <f t="shared" ca="1" si="8"/>
        <v>19</v>
      </c>
      <c r="BI29" s="173" t="str">
        <f t="shared" ca="1" si="8"/>
        <v>SRE</v>
      </c>
    </row>
    <row r="30" spans="1:61" ht="13.8" x14ac:dyDescent="0.25">
      <c r="A30" s="223" t="s">
        <v>379</v>
      </c>
      <c r="B30" s="224" t="s">
        <v>145</v>
      </c>
      <c r="C30" s="224">
        <v>19</v>
      </c>
      <c r="D30" s="224" t="s">
        <v>385</v>
      </c>
      <c r="E30" s="225" t="str">
        <f t="shared" ca="1" si="0"/>
        <v>R</v>
      </c>
      <c r="F30" s="347"/>
      <c r="G30" s="348">
        <f t="shared" ca="1" si="1"/>
        <v>49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4"/>
        <v>29</v>
      </c>
      <c r="AK30" s="169" t="str">
        <f t="shared" ca="1" si="19"/>
        <v>BBB+</v>
      </c>
      <c r="AL30" s="169">
        <f t="shared" ca="1" si="19"/>
        <v>19</v>
      </c>
      <c r="AM30" s="169" t="str">
        <f t="shared" ca="1" si="5"/>
        <v/>
      </c>
      <c r="AQ30" s="207" t="s">
        <v>397</v>
      </c>
      <c r="AR30" s="207" t="s">
        <v>146</v>
      </c>
      <c r="AS30" s="207">
        <v>18</v>
      </c>
      <c r="AT30" s="207" t="s">
        <v>398</v>
      </c>
      <c r="AV30" s="168">
        <f t="shared" si="20"/>
        <v>25</v>
      </c>
      <c r="AW30" s="168">
        <f>COUNTIF( AV$7:AV30, AV30 )</f>
        <v>11</v>
      </c>
      <c r="AX30" s="208">
        <f t="shared" si="21"/>
        <v>26.1</v>
      </c>
      <c r="AY30" s="168">
        <f t="shared" si="22"/>
        <v>35</v>
      </c>
      <c r="AZ30" s="169"/>
      <c r="BA30" s="169"/>
      <c r="BC30" s="168">
        <f t="shared" ca="1" si="23"/>
        <v>24</v>
      </c>
      <c r="BD30" s="209">
        <f t="shared" ca="1" si="7"/>
        <v>48</v>
      </c>
      <c r="BF30" s="173" t="str">
        <f t="shared" ca="1" si="8"/>
        <v>TECO Energy, Inc.</v>
      </c>
      <c r="BG30" s="173" t="str">
        <f t="shared" ca="1" si="8"/>
        <v>BBB+</v>
      </c>
      <c r="BH30" s="173">
        <f t="shared" ca="1" si="8"/>
        <v>19</v>
      </c>
      <c r="BI30" s="173" t="str">
        <f t="shared" ca="1" si="8"/>
        <v>TE</v>
      </c>
    </row>
    <row r="31" spans="1:61" ht="13.8" x14ac:dyDescent="0.25">
      <c r="A31" s="223" t="s">
        <v>230</v>
      </c>
      <c r="B31" s="224" t="s">
        <v>146</v>
      </c>
      <c r="C31" s="224">
        <v>18</v>
      </c>
      <c r="D31" s="224" t="s">
        <v>231</v>
      </c>
      <c r="E31" s="225" t="str">
        <f t="shared" ca="1" si="0"/>
        <v>R</v>
      </c>
      <c r="F31" s="347"/>
      <c r="G31" s="348">
        <f t="shared" ca="1" si="1"/>
        <v>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4"/>
        <v>30</v>
      </c>
      <c r="AK31" s="169" t="str">
        <f t="shared" ca="1" si="19"/>
        <v>BBB</v>
      </c>
      <c r="AL31" s="169">
        <f t="shared" ca="1" si="19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0"/>
        <v>25</v>
      </c>
      <c r="AW31" s="168">
        <f>COUNTIF( AV$7:AV31, AV31 )</f>
        <v>12</v>
      </c>
      <c r="AX31" s="208">
        <f t="shared" si="21"/>
        <v>26.2</v>
      </c>
      <c r="AY31" s="168">
        <f t="shared" si="22"/>
        <v>36</v>
      </c>
      <c r="AZ31" s="169"/>
      <c r="BA31" s="169"/>
      <c r="BC31" s="168">
        <f t="shared" ca="1" si="23"/>
        <v>25</v>
      </c>
      <c r="BD31" s="209">
        <f t="shared" ca="1" si="7"/>
        <v>3</v>
      </c>
      <c r="BF31" s="173" t="str">
        <f t="shared" ca="1" si="8"/>
        <v>Ameren Corporation</v>
      </c>
      <c r="BG31" s="173" t="str">
        <f t="shared" ca="1" si="8"/>
        <v>BBB</v>
      </c>
      <c r="BH31" s="173">
        <f t="shared" ca="1" si="8"/>
        <v>18</v>
      </c>
      <c r="BI31" s="173" t="str">
        <f t="shared" ca="1" si="8"/>
        <v>AEE</v>
      </c>
    </row>
    <row r="32" spans="1:61" ht="13.8" x14ac:dyDescent="0.25">
      <c r="A32" s="223" t="s">
        <v>227</v>
      </c>
      <c r="B32" s="224" t="s">
        <v>146</v>
      </c>
      <c r="C32" s="224">
        <v>18</v>
      </c>
      <c r="D32" s="224" t="s">
        <v>228</v>
      </c>
      <c r="E32" s="225" t="str">
        <f t="shared" ca="1" si="0"/>
        <v>R</v>
      </c>
      <c r="F32" s="347"/>
      <c r="G32" s="348">
        <f t="shared" ca="1" si="1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4"/>
        <v>31</v>
      </c>
      <c r="AK32" s="169" t="str">
        <f t="shared" ca="1" si="19"/>
        <v>BBB</v>
      </c>
      <c r="AL32" s="169">
        <f t="shared" ca="1" si="19"/>
        <v>18</v>
      </c>
      <c r="AM32" s="169" t="str">
        <f t="shared" ca="1" si="5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0"/>
        <v>2</v>
      </c>
      <c r="AW32" s="168">
        <f>COUNTIF( AV$7:AV32, AV32 )</f>
        <v>5</v>
      </c>
      <c r="AX32" s="208">
        <f t="shared" si="21"/>
        <v>2.5</v>
      </c>
      <c r="AY32" s="168">
        <f t="shared" si="22"/>
        <v>6</v>
      </c>
      <c r="AZ32" s="169"/>
      <c r="BA32" s="169"/>
      <c r="BC32" s="168">
        <f t="shared" ca="1" si="23"/>
        <v>26</v>
      </c>
      <c r="BD32" s="209">
        <f t="shared" ca="1" si="7"/>
        <v>4</v>
      </c>
      <c r="BF32" s="173" t="str">
        <f t="shared" ca="1" si="8"/>
        <v>American Electric Power Company, Inc.</v>
      </c>
      <c r="BG32" s="173" t="str">
        <f t="shared" ca="1" si="8"/>
        <v>BBB</v>
      </c>
      <c r="BH32" s="173">
        <f t="shared" ca="1" si="8"/>
        <v>18</v>
      </c>
      <c r="BI32" s="173" t="str">
        <f t="shared" ca="1" si="8"/>
        <v>AEP</v>
      </c>
    </row>
    <row r="33" spans="1:61" ht="13.8" x14ac:dyDescent="0.25">
      <c r="A33" s="223" t="s">
        <v>243</v>
      </c>
      <c r="B33" s="224" t="s">
        <v>146</v>
      </c>
      <c r="C33" s="224">
        <v>18</v>
      </c>
      <c r="D33" s="224" t="s">
        <v>244</v>
      </c>
      <c r="E33" s="225" t="str">
        <f t="shared" ca="1" si="0"/>
        <v>R</v>
      </c>
      <c r="F33" s="347"/>
      <c r="G33" s="348">
        <f t="shared" ca="1" si="1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4"/>
        <v>32</v>
      </c>
      <c r="AK33" s="169" t="str">
        <f t="shared" ca="1" si="19"/>
        <v>BBB</v>
      </c>
      <c r="AL33" s="169">
        <f t="shared" ca="1" si="19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0"/>
        <v>45</v>
      </c>
      <c r="AW33" s="168">
        <f>COUNTIF( AV$7:AV33, AV33 )</f>
        <v>4</v>
      </c>
      <c r="AX33" s="208">
        <f t="shared" si="21"/>
        <v>45.4</v>
      </c>
      <c r="AY33" s="168">
        <f t="shared" si="22"/>
        <v>48</v>
      </c>
      <c r="AZ33" s="169"/>
      <c r="BA33" s="169"/>
      <c r="BC33" s="168">
        <f t="shared" ca="1" si="23"/>
        <v>27</v>
      </c>
      <c r="BD33" s="209">
        <f t="shared" ca="1" si="7"/>
        <v>5</v>
      </c>
      <c r="BF33" s="173" t="str">
        <f t="shared" ca="1" si="8"/>
        <v>Avista Corporation</v>
      </c>
      <c r="BG33" s="173" t="str">
        <f t="shared" ca="1" si="8"/>
        <v>BBB</v>
      </c>
      <c r="BH33" s="173">
        <f t="shared" ca="1" si="8"/>
        <v>18</v>
      </c>
      <c r="BI33" s="173" t="str">
        <f t="shared" ca="1" si="8"/>
        <v>AVA</v>
      </c>
    </row>
    <row r="34" spans="1:61" ht="13.8" x14ac:dyDescent="0.25">
      <c r="A34" s="223" t="s">
        <v>250</v>
      </c>
      <c r="B34" s="224" t="s">
        <v>146</v>
      </c>
      <c r="C34" s="224">
        <v>18</v>
      </c>
      <c r="D34" s="224" t="s">
        <v>251</v>
      </c>
      <c r="E34" s="225" t="str">
        <f t="shared" ca="1" si="0"/>
        <v>R</v>
      </c>
      <c r="F34" s="347"/>
      <c r="G34" s="348">
        <f t="shared" ca="1" si="1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>
        <f t="shared" ca="1" si="3"/>
        <v>1</v>
      </c>
      <c r="AH34" s="169" t="str">
        <f t="shared" ca="1" si="18"/>
        <v/>
      </c>
      <c r="AJ34" s="169">
        <f t="shared" ca="1" si="4"/>
        <v>50</v>
      </c>
      <c r="AK34" s="169" t="str">
        <f t="shared" ca="1" si="19"/>
        <v>BBB-</v>
      </c>
      <c r="AL34" s="169">
        <f t="shared" ca="1" si="19"/>
        <v>17</v>
      </c>
      <c r="AM34" s="169" t="str">
        <f t="shared" ca="1" si="5"/>
        <v>Change</v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0"/>
        <v>13</v>
      </c>
      <c r="AW34" s="168">
        <f>COUNTIF( AV$7:AV34, AV34 )</f>
        <v>5</v>
      </c>
      <c r="AX34" s="208">
        <f t="shared" si="21"/>
        <v>13.5</v>
      </c>
      <c r="AY34" s="168">
        <f t="shared" si="22"/>
        <v>17</v>
      </c>
      <c r="AZ34" s="169"/>
      <c r="BA34" s="169"/>
      <c r="BC34" s="168">
        <f t="shared" ca="1" si="23"/>
        <v>28</v>
      </c>
      <c r="BD34" s="209">
        <f t="shared" ca="1" si="7"/>
        <v>6</v>
      </c>
      <c r="BF34" s="173" t="str">
        <f t="shared" ca="1" si="8"/>
        <v>Black Hills Corporation</v>
      </c>
      <c r="BG34" s="173" t="str">
        <f t="shared" ca="1" si="8"/>
        <v>BBB</v>
      </c>
      <c r="BH34" s="173">
        <f t="shared" ca="1" si="8"/>
        <v>18</v>
      </c>
      <c r="BI34" s="173" t="str">
        <f t="shared" ca="1" si="8"/>
        <v>BKH</v>
      </c>
    </row>
    <row r="35" spans="1:61" ht="13.8" x14ac:dyDescent="0.25">
      <c r="A35" s="223" t="s">
        <v>261</v>
      </c>
      <c r="B35" s="224" t="s">
        <v>146</v>
      </c>
      <c r="C35" s="224">
        <v>18</v>
      </c>
      <c r="D35" s="224" t="s">
        <v>262</v>
      </c>
      <c r="E35" s="225" t="str">
        <f t="shared" ca="1" si="0"/>
        <v>R</v>
      </c>
      <c r="F35" s="347"/>
      <c r="G35" s="348">
        <f t="shared" ca="1" si="1"/>
        <v>15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4"/>
        <v>34</v>
      </c>
      <c r="AK35" s="169" t="str">
        <f t="shared" ca="1" si="19"/>
        <v>BBB</v>
      </c>
      <c r="AL35" s="169">
        <f t="shared" ca="1" si="19"/>
        <v>18</v>
      </c>
      <c r="AM35" s="169" t="str">
        <f t="shared" ca="1" si="5"/>
        <v/>
      </c>
      <c r="AQ35" s="207" t="s">
        <v>418</v>
      </c>
      <c r="AR35" s="207" t="s">
        <v>145</v>
      </c>
      <c r="AS35" s="207">
        <v>19</v>
      </c>
      <c r="AT35" s="207" t="s">
        <v>221</v>
      </c>
      <c r="AV35" s="168">
        <f t="shared" si="20"/>
        <v>13</v>
      </c>
      <c r="AW35" s="168">
        <f>COUNTIF( AV$7:AV35, AV35 )</f>
        <v>6</v>
      </c>
      <c r="AX35" s="208">
        <f t="shared" si="21"/>
        <v>13.6</v>
      </c>
      <c r="AY35" s="168">
        <f t="shared" si="22"/>
        <v>18</v>
      </c>
      <c r="AZ35" s="169"/>
      <c r="BA35" s="169"/>
      <c r="BC35" s="168">
        <f t="shared" ca="1" si="23"/>
        <v>29</v>
      </c>
      <c r="BD35" s="209">
        <f t="shared" ca="1" si="7"/>
        <v>9</v>
      </c>
      <c r="BF35" s="173" t="str">
        <f t="shared" ca="1" si="8"/>
        <v>CMS Energy Corporation</v>
      </c>
      <c r="BG35" s="173" t="str">
        <f t="shared" ca="1" si="8"/>
        <v>BBB</v>
      </c>
      <c r="BH35" s="173">
        <f t="shared" ca="1" si="8"/>
        <v>18</v>
      </c>
      <c r="BI35" s="173" t="str">
        <f t="shared" ca="1" si="8"/>
        <v>CMS</v>
      </c>
    </row>
    <row r="36" spans="1:61" ht="13.8" x14ac:dyDescent="0.25">
      <c r="A36" s="223" t="s">
        <v>338</v>
      </c>
      <c r="B36" s="224" t="s">
        <v>146</v>
      </c>
      <c r="C36" s="224">
        <v>18</v>
      </c>
      <c r="D36" s="224" t="s">
        <v>341</v>
      </c>
      <c r="E36" s="225" t="str">
        <f t="shared" ca="1" si="0"/>
        <v>R</v>
      </c>
      <c r="F36" s="347"/>
      <c r="G36" s="348">
        <f t="shared" ca="1" si="1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4"/>
        <v>35</v>
      </c>
      <c r="AK36" s="169" t="str">
        <f t="shared" ca="1" si="19"/>
        <v>BBB</v>
      </c>
      <c r="AL36" s="169">
        <f t="shared" ca="1" si="19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0"/>
        <v>2</v>
      </c>
      <c r="AW36" s="168">
        <f>COUNTIF( AV$7:AV36, AV36 )</f>
        <v>6</v>
      </c>
      <c r="AX36" s="208">
        <f t="shared" si="21"/>
        <v>2.6</v>
      </c>
      <c r="AY36" s="168">
        <f t="shared" si="22"/>
        <v>7</v>
      </c>
      <c r="AZ36" s="169"/>
      <c r="BA36" s="169"/>
      <c r="BC36" s="168">
        <f t="shared" ca="1" si="23"/>
        <v>30</v>
      </c>
      <c r="BD36" s="209">
        <f t="shared" ca="1" si="7"/>
        <v>16</v>
      </c>
      <c r="BF36" s="173" t="str">
        <f t="shared" ca="1" si="8"/>
        <v>El Paso Electric Company</v>
      </c>
      <c r="BG36" s="173" t="str">
        <f t="shared" ca="1" si="8"/>
        <v>BBB</v>
      </c>
      <c r="BH36" s="173">
        <f t="shared" ca="1" si="8"/>
        <v>18</v>
      </c>
      <c r="BI36" s="173" t="str">
        <f t="shared" ca="1" si="8"/>
        <v>EE</v>
      </c>
    </row>
    <row r="37" spans="1:61" ht="13.8" x14ac:dyDescent="0.25">
      <c r="A37" s="223" t="s">
        <v>377</v>
      </c>
      <c r="B37" s="224" t="s">
        <v>146</v>
      </c>
      <c r="C37" s="224">
        <v>18</v>
      </c>
      <c r="D37" s="224" t="s">
        <v>378</v>
      </c>
      <c r="E37" s="225" t="str">
        <f t="shared" ca="1" si="0"/>
        <v>R</v>
      </c>
      <c r="F37" s="347"/>
      <c r="G37" s="348">
        <f t="shared" ca="1" si="1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4"/>
        <v>36</v>
      </c>
      <c r="AK37" s="169" t="str">
        <f t="shared" ca="1" si="19"/>
        <v>BBB</v>
      </c>
      <c r="AL37" s="169">
        <f t="shared" ca="1" si="19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0"/>
        <v>45</v>
      </c>
      <c r="AW37" s="168">
        <f>COUNTIF( AV$7:AV37, AV37 )</f>
        <v>5</v>
      </c>
      <c r="AX37" s="208">
        <f t="shared" si="21"/>
        <v>45.5</v>
      </c>
      <c r="AY37" s="168">
        <f t="shared" si="22"/>
        <v>49</v>
      </c>
      <c r="AZ37" s="169"/>
      <c r="BA37" s="169"/>
      <c r="BC37" s="168">
        <f t="shared" ca="1" si="23"/>
        <v>31</v>
      </c>
      <c r="BD37" s="209">
        <f t="shared" ca="1" si="7"/>
        <v>17</v>
      </c>
      <c r="BF37" s="173" t="str">
        <f t="shared" ca="1" si="8"/>
        <v>Empire District Electric Company</v>
      </c>
      <c r="BG37" s="173" t="str">
        <f t="shared" ca="1" si="8"/>
        <v>BBB</v>
      </c>
      <c r="BH37" s="173">
        <f t="shared" ca="1" si="8"/>
        <v>18</v>
      </c>
      <c r="BI37" s="173" t="str">
        <f t="shared" ca="1" si="8"/>
        <v>EDE</v>
      </c>
    </row>
    <row r="38" spans="1:61" ht="13.8" x14ac:dyDescent="0.25">
      <c r="A38" s="223" t="s">
        <v>272</v>
      </c>
      <c r="B38" s="224" t="s">
        <v>146</v>
      </c>
      <c r="C38" s="224">
        <v>18</v>
      </c>
      <c r="D38" s="224" t="s">
        <v>273</v>
      </c>
      <c r="E38" s="225" t="str">
        <f t="shared" ca="1" si="0"/>
        <v>R</v>
      </c>
      <c r="F38" s="347"/>
      <c r="G38" s="348">
        <f t="shared" ca="1" si="1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4"/>
        <v>37</v>
      </c>
      <c r="AK38" s="169" t="str">
        <f t="shared" ca="1" si="19"/>
        <v>BBB</v>
      </c>
      <c r="AL38" s="169">
        <f t="shared" ca="1" si="19"/>
        <v>18</v>
      </c>
      <c r="AM38" s="169" t="str">
        <f t="shared" ca="1" si="5"/>
        <v/>
      </c>
      <c r="AQ38" s="207" t="s">
        <v>404</v>
      </c>
      <c r="AR38" s="207" t="s">
        <v>144</v>
      </c>
      <c r="AS38" s="207">
        <v>20</v>
      </c>
      <c r="AT38" s="207" t="s">
        <v>241</v>
      </c>
      <c r="AV38" s="168">
        <f t="shared" si="20"/>
        <v>2</v>
      </c>
      <c r="AW38" s="168">
        <f>COUNTIF( AV$7:AV38, AV38 )</f>
        <v>7</v>
      </c>
      <c r="AX38" s="208">
        <f t="shared" si="21"/>
        <v>2.7</v>
      </c>
      <c r="AY38" s="168">
        <f t="shared" si="22"/>
        <v>8</v>
      </c>
      <c r="AZ38" s="169"/>
      <c r="BA38" s="169"/>
      <c r="BC38" s="168">
        <f t="shared" ca="1" si="23"/>
        <v>32</v>
      </c>
      <c r="BD38" s="209">
        <f t="shared" ca="1" si="7"/>
        <v>19</v>
      </c>
      <c r="BF38" s="173" t="str">
        <f t="shared" ca="1" si="8"/>
        <v>Entergy Corporation</v>
      </c>
      <c r="BG38" s="173" t="str">
        <f t="shared" ca="1" si="8"/>
        <v>BBB</v>
      </c>
      <c r="BH38" s="173">
        <f t="shared" ca="1" si="8"/>
        <v>18</v>
      </c>
      <c r="BI38" s="173" t="str">
        <f t="shared" ca="1" si="8"/>
        <v>ETR</v>
      </c>
    </row>
    <row r="39" spans="1:61" ht="13.8" x14ac:dyDescent="0.25">
      <c r="A39" s="223" t="s">
        <v>274</v>
      </c>
      <c r="B39" s="224" t="s">
        <v>146</v>
      </c>
      <c r="C39" s="224">
        <v>18</v>
      </c>
      <c r="D39" s="224" t="s">
        <v>275</v>
      </c>
      <c r="E39" s="225" t="str">
        <f t="shared" ca="1" si="0"/>
        <v>MR</v>
      </c>
      <c r="F39" s="347"/>
      <c r="G39" s="348">
        <f t="shared" ca="1" si="1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4"/>
        <v>38</v>
      </c>
      <c r="AK39" s="169" t="str">
        <f t="shared" ca="1" si="19"/>
        <v>BBB</v>
      </c>
      <c r="AL39" s="169">
        <f t="shared" ca="1" si="19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0"/>
        <v>25</v>
      </c>
      <c r="AW39" s="168">
        <f>COUNTIF( AV$7:AV39, AV39 )</f>
        <v>13</v>
      </c>
      <c r="AX39" s="208">
        <f t="shared" si="21"/>
        <v>26.3</v>
      </c>
      <c r="AY39" s="168">
        <f t="shared" si="22"/>
        <v>37</v>
      </c>
      <c r="AZ39" s="169"/>
      <c r="BA39" s="169"/>
      <c r="BC39" s="168">
        <f t="shared" ca="1" si="23"/>
        <v>33</v>
      </c>
      <c r="BD39" s="209">
        <f t="shared" ca="1" si="7"/>
        <v>20</v>
      </c>
      <c r="BF39" s="173" t="str">
        <f t="shared" ref="BF39:BI63" ca="1" si="24">OFFSET( AQ$6, $BD39, 0 )</f>
        <v>Exelon Corporation</v>
      </c>
      <c r="BG39" s="173" t="str">
        <f t="shared" ca="1" si="24"/>
        <v>BBB</v>
      </c>
      <c r="BH39" s="173">
        <f t="shared" ca="1" si="24"/>
        <v>18</v>
      </c>
      <c r="BI39" s="173" t="str">
        <f t="shared" ca="1" si="24"/>
        <v>EXC</v>
      </c>
    </row>
    <row r="40" spans="1:61" ht="13.8" x14ac:dyDescent="0.25">
      <c r="A40" s="223" t="s">
        <v>362</v>
      </c>
      <c r="B40" s="224" t="s">
        <v>146</v>
      </c>
      <c r="C40" s="224">
        <v>18</v>
      </c>
      <c r="D40" s="224" t="s">
        <v>363</v>
      </c>
      <c r="E40" s="225" t="str">
        <f t="shared" ca="1" si="0"/>
        <v>R</v>
      </c>
      <c r="F40" s="347"/>
      <c r="G40" s="348">
        <f t="shared" ca="1" si="1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4"/>
        <v>39</v>
      </c>
      <c r="AK40" s="169" t="str">
        <f t="shared" ca="1" si="19"/>
        <v>BBB</v>
      </c>
      <c r="AL40" s="169">
        <f t="shared" ca="1" si="19"/>
        <v>18</v>
      </c>
      <c r="AM40" s="169" t="str">
        <f t="shared" ca="1" si="5"/>
        <v/>
      </c>
      <c r="AQ40" s="207" t="s">
        <v>421</v>
      </c>
      <c r="AR40" s="207" t="s">
        <v>147</v>
      </c>
      <c r="AS40" s="207">
        <v>17</v>
      </c>
      <c r="AT40" s="207" t="s">
        <v>422</v>
      </c>
      <c r="AV40" s="168">
        <f t="shared" si="20"/>
        <v>45</v>
      </c>
      <c r="AW40" s="168">
        <f>COUNTIF( AV$7:AV40, AV40 )</f>
        <v>6</v>
      </c>
      <c r="AX40" s="208">
        <f t="shared" si="21"/>
        <v>45.6</v>
      </c>
      <c r="AY40" s="168">
        <f t="shared" si="22"/>
        <v>50</v>
      </c>
      <c r="AZ40" s="169"/>
      <c r="BA40" s="169"/>
      <c r="BC40" s="168">
        <f t="shared" ca="1" si="23"/>
        <v>34</v>
      </c>
      <c r="BD40" s="209">
        <f t="shared" ca="1" si="7"/>
        <v>22</v>
      </c>
      <c r="BF40" s="173" t="str">
        <f t="shared" ca="1" si="24"/>
        <v>Great Plains Energy Inc.</v>
      </c>
      <c r="BG40" s="173" t="str">
        <f t="shared" ca="1" si="24"/>
        <v>BBB</v>
      </c>
      <c r="BH40" s="173">
        <f t="shared" ca="1" si="24"/>
        <v>18</v>
      </c>
      <c r="BI40" s="173" t="str">
        <f t="shared" ca="1" si="24"/>
        <v>GXP</v>
      </c>
    </row>
    <row r="41" spans="1:61" ht="13.8" x14ac:dyDescent="0.25">
      <c r="A41" s="223" t="s">
        <v>397</v>
      </c>
      <c r="B41" s="224" t="s">
        <v>146</v>
      </c>
      <c r="C41" s="224">
        <v>18</v>
      </c>
      <c r="D41" s="224" t="s">
        <v>398</v>
      </c>
      <c r="E41" s="225" t="str">
        <f t="shared" ca="1" si="0"/>
        <v>R</v>
      </c>
      <c r="F41" s="347"/>
      <c r="G41" s="348">
        <f t="shared" ca="1" si="1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4"/>
        <v>40</v>
      </c>
      <c r="AK41" s="169" t="str">
        <f t="shared" ca="1" si="19"/>
        <v>BBB</v>
      </c>
      <c r="AL41" s="169">
        <f t="shared" ca="1" si="19"/>
        <v>18</v>
      </c>
      <c r="AM41" s="169" t="str">
        <f t="shared" ca="1" si="5"/>
        <v/>
      </c>
      <c r="AQ41" s="207" t="s">
        <v>282</v>
      </c>
      <c r="AR41" s="207" t="s">
        <v>144</v>
      </c>
      <c r="AS41" s="207">
        <v>20</v>
      </c>
      <c r="AT41" s="207" t="s">
        <v>283</v>
      </c>
      <c r="AV41" s="168">
        <f t="shared" si="20"/>
        <v>2</v>
      </c>
      <c r="AW41" s="168">
        <f>COUNTIF( AV$7:AV41, AV41 )</f>
        <v>8</v>
      </c>
      <c r="AX41" s="208">
        <f t="shared" si="21"/>
        <v>2.8</v>
      </c>
      <c r="AY41" s="168">
        <f t="shared" si="22"/>
        <v>9</v>
      </c>
      <c r="AZ41" s="169"/>
      <c r="BA41" s="169"/>
      <c r="BC41" s="168">
        <f t="shared" ca="1" si="23"/>
        <v>35</v>
      </c>
      <c r="BD41" s="209">
        <f t="shared" ca="1" si="7"/>
        <v>24</v>
      </c>
      <c r="BF41" s="173" t="str">
        <f t="shared" ca="1" si="24"/>
        <v>Iberdrola USA</v>
      </c>
      <c r="BG41" s="173" t="str">
        <f t="shared" ca="1" si="24"/>
        <v>BBB</v>
      </c>
      <c r="BH41" s="173">
        <f t="shared" ca="1" si="24"/>
        <v>18</v>
      </c>
      <c r="BI41" s="173" t="str">
        <f t="shared" ca="1" si="24"/>
        <v>**EAST</v>
      </c>
    </row>
    <row r="42" spans="1:61" ht="13.8" x14ac:dyDescent="0.25">
      <c r="A42" s="223" t="s">
        <v>288</v>
      </c>
      <c r="B42" s="224" t="s">
        <v>146</v>
      </c>
      <c r="C42" s="224">
        <v>18</v>
      </c>
      <c r="D42" s="224" t="s">
        <v>289</v>
      </c>
      <c r="E42" s="225" t="str">
        <f t="shared" ca="1" si="0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4"/>
        <v>41</v>
      </c>
      <c r="AK42" s="169" t="str">
        <f t="shared" ca="1" si="19"/>
        <v>BBB</v>
      </c>
      <c r="AL42" s="169">
        <f t="shared" ca="1" si="19"/>
        <v>18</v>
      </c>
      <c r="AM42" s="169" t="str">
        <f t="shared" ca="1" si="5"/>
        <v/>
      </c>
      <c r="AQ42" s="207" t="s">
        <v>304</v>
      </c>
      <c r="AR42" s="207" t="s">
        <v>146</v>
      </c>
      <c r="AS42" s="207">
        <v>18</v>
      </c>
      <c r="AT42" s="207" t="s">
        <v>305</v>
      </c>
      <c r="AV42" s="168">
        <f t="shared" si="20"/>
        <v>25</v>
      </c>
      <c r="AW42" s="168">
        <f>COUNTIF( AV$7:AV42, AV42 )</f>
        <v>14</v>
      </c>
      <c r="AX42" s="208">
        <f t="shared" si="21"/>
        <v>26.4</v>
      </c>
      <c r="AY42" s="168">
        <f t="shared" si="22"/>
        <v>38</v>
      </c>
      <c r="AZ42" s="169"/>
      <c r="BA42" s="169"/>
      <c r="BC42" s="168">
        <f t="shared" ca="1" si="23"/>
        <v>36</v>
      </c>
      <c r="BD42" s="209">
        <f t="shared" ca="1" si="7"/>
        <v>25</v>
      </c>
      <c r="BF42" s="173" t="str">
        <f t="shared" ca="1" si="24"/>
        <v>IDACORP, Inc.</v>
      </c>
      <c r="BG42" s="173" t="str">
        <f t="shared" ca="1" si="24"/>
        <v>BBB</v>
      </c>
      <c r="BH42" s="173">
        <f t="shared" ca="1" si="24"/>
        <v>18</v>
      </c>
      <c r="BI42" s="173" t="str">
        <f t="shared" ca="1" si="24"/>
        <v>IDA</v>
      </c>
    </row>
    <row r="43" spans="1:61" ht="13.8" x14ac:dyDescent="0.25">
      <c r="A43" s="223" t="s">
        <v>302</v>
      </c>
      <c r="B43" s="224" t="s">
        <v>146</v>
      </c>
      <c r="C43" s="224">
        <v>18</v>
      </c>
      <c r="D43" s="224" t="s">
        <v>303</v>
      </c>
      <c r="E43" s="225" t="str">
        <f t="shared" ca="1" si="0"/>
        <v>R</v>
      </c>
      <c r="F43" s="347"/>
      <c r="G43" s="348">
        <f t="shared" ca="1" si="1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4"/>
        <v>42</v>
      </c>
      <c r="AK43" s="169" t="str">
        <f t="shared" ca="1" si="19"/>
        <v>BBB</v>
      </c>
      <c r="AL43" s="169">
        <f t="shared" ca="1" si="19"/>
        <v>18</v>
      </c>
      <c r="AM43" s="169" t="str">
        <f t="shared" ca="1" si="5"/>
        <v/>
      </c>
      <c r="AQ43" s="207" t="s">
        <v>392</v>
      </c>
      <c r="AR43" s="207" t="s">
        <v>145</v>
      </c>
      <c r="AS43" s="207">
        <v>19</v>
      </c>
      <c r="AT43" s="207" t="s">
        <v>393</v>
      </c>
      <c r="AV43" s="168">
        <f t="shared" si="20"/>
        <v>13</v>
      </c>
      <c r="AW43" s="168">
        <f>COUNTIF( AV$7:AV43, AV43 )</f>
        <v>7</v>
      </c>
      <c r="AX43" s="208">
        <f t="shared" si="21"/>
        <v>13.7</v>
      </c>
      <c r="AY43" s="168">
        <f t="shared" si="22"/>
        <v>19</v>
      </c>
      <c r="AZ43" s="169"/>
      <c r="BA43" s="169"/>
      <c r="BC43" s="168">
        <f t="shared" ca="1" si="23"/>
        <v>37</v>
      </c>
      <c r="BD43" s="209">
        <f t="shared" ca="1" si="7"/>
        <v>33</v>
      </c>
      <c r="BF43" s="173" t="str">
        <f t="shared" ca="1" si="24"/>
        <v>NorthWestern Corporation</v>
      </c>
      <c r="BG43" s="173" t="str">
        <f t="shared" ca="1" si="24"/>
        <v>BBB</v>
      </c>
      <c r="BH43" s="173">
        <f t="shared" ca="1" si="24"/>
        <v>18</v>
      </c>
      <c r="BI43" s="173" t="str">
        <f t="shared" ca="1" si="24"/>
        <v>NWE</v>
      </c>
    </row>
    <row r="44" spans="1:61" ht="13.8" x14ac:dyDescent="0.25">
      <c r="A44" s="223" t="s">
        <v>304</v>
      </c>
      <c r="B44" s="224" t="s">
        <v>146</v>
      </c>
      <c r="C44" s="224">
        <v>18</v>
      </c>
      <c r="D44" s="224" t="s">
        <v>305</v>
      </c>
      <c r="E44" s="225" t="str">
        <f t="shared" ca="1" si="0"/>
        <v>MR</v>
      </c>
      <c r="F44" s="347"/>
      <c r="G44" s="348">
        <f t="shared" ca="1" si="1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4"/>
        <v>43</v>
      </c>
      <c r="AK44" s="169" t="str">
        <f t="shared" ca="1" si="19"/>
        <v>BBB</v>
      </c>
      <c r="AL44" s="169">
        <f t="shared" ca="1" si="19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0"/>
        <v>25</v>
      </c>
      <c r="AW44" s="168">
        <f>COUNTIF( AV$7:AV44, AV44 )</f>
        <v>15</v>
      </c>
      <c r="AX44" s="208">
        <f t="shared" si="21"/>
        <v>26.5</v>
      </c>
      <c r="AY44" s="168">
        <f t="shared" si="22"/>
        <v>39</v>
      </c>
      <c r="AZ44" s="169"/>
      <c r="BA44" s="169"/>
      <c r="BC44" s="168">
        <f t="shared" ca="1" si="23"/>
        <v>38</v>
      </c>
      <c r="BD44" s="209">
        <f t="shared" ca="1" si="7"/>
        <v>36</v>
      </c>
      <c r="BF44" s="173" t="str">
        <f t="shared" ca="1" si="24"/>
        <v>Otter Tail Corporation</v>
      </c>
      <c r="BG44" s="173" t="str">
        <f t="shared" ca="1" si="24"/>
        <v>BBB</v>
      </c>
      <c r="BH44" s="173">
        <f t="shared" ca="1" si="24"/>
        <v>18</v>
      </c>
      <c r="BI44" s="173" t="str">
        <f t="shared" ca="1" si="24"/>
        <v>OTTR</v>
      </c>
    </row>
    <row r="45" spans="1:61" ht="13.8" x14ac:dyDescent="0.25">
      <c r="A45" s="223" t="s">
        <v>306</v>
      </c>
      <c r="B45" s="224" t="s">
        <v>146</v>
      </c>
      <c r="C45" s="224">
        <v>18</v>
      </c>
      <c r="D45" s="224" t="s">
        <v>307</v>
      </c>
      <c r="E45" s="225" t="str">
        <f t="shared" ca="1" si="0"/>
        <v>R</v>
      </c>
      <c r="F45" s="347"/>
      <c r="G45" s="348">
        <f t="shared" ca="1" si="1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4"/>
        <v>44</v>
      </c>
      <c r="AK45" s="169" t="str">
        <f t="shared" ca="1" si="19"/>
        <v>BBB</v>
      </c>
      <c r="AL45" s="169">
        <f t="shared" ca="1" si="19"/>
        <v>18</v>
      </c>
      <c r="AM45" s="169" t="str">
        <f t="shared" ca="1" si="5"/>
        <v/>
      </c>
      <c r="AQ45" s="207" t="s">
        <v>286</v>
      </c>
      <c r="AR45" s="207" t="s">
        <v>145</v>
      </c>
      <c r="AS45" s="207">
        <v>19</v>
      </c>
      <c r="AT45" s="207" t="s">
        <v>287</v>
      </c>
      <c r="AV45" s="168">
        <f t="shared" si="20"/>
        <v>13</v>
      </c>
      <c r="AW45" s="168">
        <f>COUNTIF( AV$7:AV45, AV45 )</f>
        <v>8</v>
      </c>
      <c r="AX45" s="208">
        <f t="shared" si="21"/>
        <v>13.8</v>
      </c>
      <c r="AY45" s="168">
        <f t="shared" si="22"/>
        <v>20</v>
      </c>
      <c r="AZ45" s="169"/>
      <c r="BA45" s="169"/>
      <c r="BC45" s="168">
        <f t="shared" ca="1" si="23"/>
        <v>39</v>
      </c>
      <c r="BD45" s="209">
        <f t="shared" ca="1" si="7"/>
        <v>38</v>
      </c>
      <c r="BF45" s="173" t="str">
        <f t="shared" ca="1" si="24"/>
        <v>PG&amp;E Corporation</v>
      </c>
      <c r="BG45" s="173" t="str">
        <f t="shared" ca="1" si="24"/>
        <v>BBB</v>
      </c>
      <c r="BH45" s="173">
        <f t="shared" ca="1" si="24"/>
        <v>18</v>
      </c>
      <c r="BI45" s="173" t="str">
        <f t="shared" ca="1" si="24"/>
        <v>PCG</v>
      </c>
    </row>
    <row r="46" spans="1:61" ht="13.8" x14ac:dyDescent="0.25">
      <c r="A46" s="223" t="s">
        <v>308</v>
      </c>
      <c r="B46" s="224" t="s">
        <v>146</v>
      </c>
      <c r="C46" s="224">
        <v>18</v>
      </c>
      <c r="D46" s="224" t="s">
        <v>309</v>
      </c>
      <c r="E46" s="225" t="str">
        <f t="shared" ca="1" si="0"/>
        <v>R</v>
      </c>
      <c r="F46" s="347"/>
      <c r="G46" s="348">
        <f t="shared" ca="1" si="1"/>
        <v>42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4"/>
        <v>45</v>
      </c>
      <c r="AK46" s="169" t="str">
        <f t="shared" ca="1" si="19"/>
        <v>BBB</v>
      </c>
      <c r="AL46" s="169">
        <f t="shared" ca="1" si="19"/>
        <v>18</v>
      </c>
      <c r="AM46" s="169" t="str">
        <f t="shared" ca="1" si="5"/>
        <v/>
      </c>
      <c r="AQ46" s="207" t="s">
        <v>308</v>
      </c>
      <c r="AR46" s="207" t="s">
        <v>146</v>
      </c>
      <c r="AS46" s="207">
        <v>18</v>
      </c>
      <c r="AT46" s="207" t="s">
        <v>309</v>
      </c>
      <c r="AV46" s="168">
        <f t="shared" si="20"/>
        <v>25</v>
      </c>
      <c r="AW46" s="168">
        <f>COUNTIF( AV$7:AV46, AV46 )</f>
        <v>16</v>
      </c>
      <c r="AX46" s="208">
        <f t="shared" si="21"/>
        <v>26.6</v>
      </c>
      <c r="AY46" s="168">
        <f t="shared" si="22"/>
        <v>40</v>
      </c>
      <c r="AZ46" s="169"/>
      <c r="BA46" s="169"/>
      <c r="BC46" s="168">
        <f t="shared" ca="1" si="23"/>
        <v>40</v>
      </c>
      <c r="BD46" s="209">
        <f t="shared" ca="1" si="7"/>
        <v>40</v>
      </c>
      <c r="BF46" s="173" t="str">
        <f t="shared" ca="1" si="24"/>
        <v>PNM Resources, Inc.</v>
      </c>
      <c r="BG46" s="173" t="str">
        <f t="shared" ca="1" si="24"/>
        <v>BBB</v>
      </c>
      <c r="BH46" s="173">
        <f t="shared" ca="1" si="24"/>
        <v>18</v>
      </c>
      <c r="BI46" s="173" t="str">
        <f t="shared" ca="1" si="24"/>
        <v>PNM</v>
      </c>
    </row>
    <row r="47" spans="1:61" ht="13.8" x14ac:dyDescent="0.25">
      <c r="A47" s="223" t="s">
        <v>290</v>
      </c>
      <c r="B47" s="224" t="s">
        <v>146</v>
      </c>
      <c r="C47" s="224">
        <v>18</v>
      </c>
      <c r="D47" s="224" t="s">
        <v>291</v>
      </c>
      <c r="E47" s="225" t="str">
        <f t="shared" ca="1" si="0"/>
        <v>R</v>
      </c>
      <c r="F47" s="347"/>
      <c r="G47" s="348">
        <f t="shared" ca="1" si="1"/>
        <v>43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4"/>
        <v>46</v>
      </c>
      <c r="AK47" s="169" t="str">
        <f t="shared" ca="1" si="19"/>
        <v>BBB</v>
      </c>
      <c r="AL47" s="169">
        <f t="shared" ca="1" si="19"/>
        <v>18</v>
      </c>
      <c r="AM47" s="169" t="str">
        <f t="shared" ca="1" si="5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0"/>
        <v>25</v>
      </c>
      <c r="AW47" s="168">
        <f>COUNTIF( AV$7:AV47, AV47 )</f>
        <v>17</v>
      </c>
      <c r="AX47" s="208">
        <f t="shared" si="21"/>
        <v>26.7</v>
      </c>
      <c r="AY47" s="168">
        <f t="shared" si="22"/>
        <v>41</v>
      </c>
      <c r="AZ47" s="169"/>
      <c r="BA47" s="169"/>
      <c r="BC47" s="168">
        <f t="shared" ca="1" si="23"/>
        <v>41</v>
      </c>
      <c r="BD47" s="209">
        <f t="shared" ca="1" si="7"/>
        <v>41</v>
      </c>
      <c r="BF47" s="173" t="str">
        <f t="shared" ca="1" si="24"/>
        <v>Portland General Electric Company</v>
      </c>
      <c r="BG47" s="173" t="str">
        <f t="shared" ca="1" si="24"/>
        <v>BBB</v>
      </c>
      <c r="BH47" s="173">
        <f t="shared" ca="1" si="24"/>
        <v>18</v>
      </c>
      <c r="BI47" s="173" t="str">
        <f t="shared" ca="1" si="24"/>
        <v>POR</v>
      </c>
    </row>
    <row r="48" spans="1:61" ht="13.8" x14ac:dyDescent="0.25">
      <c r="A48" s="223" t="s">
        <v>248</v>
      </c>
      <c r="B48" s="224" t="s">
        <v>146</v>
      </c>
      <c r="C48" s="224">
        <v>18</v>
      </c>
      <c r="D48" s="224" t="s">
        <v>249</v>
      </c>
      <c r="E48" s="225" t="str">
        <f t="shared" ca="1" si="0"/>
        <v>MR</v>
      </c>
      <c r="F48" s="347"/>
      <c r="G48" s="348">
        <f t="shared" ca="1" si="1"/>
        <v>44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4"/>
        <v>47</v>
      </c>
      <c r="AK48" s="169" t="str">
        <f t="shared" ca="1" si="19"/>
        <v>BBB</v>
      </c>
      <c r="AL48" s="169">
        <f t="shared" ca="1" si="19"/>
        <v>18</v>
      </c>
      <c r="AM48" s="169" t="str">
        <f t="shared" ca="1" si="5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0"/>
        <v>25</v>
      </c>
      <c r="AW48" s="168">
        <f>COUNTIF( AV$7:AV48, AV48 )</f>
        <v>18</v>
      </c>
      <c r="AX48" s="208">
        <f t="shared" si="21"/>
        <v>26.8</v>
      </c>
      <c r="AY48" s="168">
        <f t="shared" si="22"/>
        <v>42</v>
      </c>
      <c r="AZ48" s="169"/>
      <c r="BA48" s="169"/>
      <c r="BC48" s="168">
        <f t="shared" ca="1" si="23"/>
        <v>42</v>
      </c>
      <c r="BD48" s="209">
        <f t="shared" ca="1" si="7"/>
        <v>42</v>
      </c>
      <c r="BF48" s="173" t="str">
        <f t="shared" ca="1" si="24"/>
        <v>PPL Corporation</v>
      </c>
      <c r="BG48" s="173" t="str">
        <f t="shared" ca="1" si="24"/>
        <v>BBB</v>
      </c>
      <c r="BH48" s="173">
        <f t="shared" ca="1" si="24"/>
        <v>18</v>
      </c>
      <c r="BI48" s="173" t="str">
        <f t="shared" ca="1" si="24"/>
        <v>PPL</v>
      </c>
    </row>
    <row r="49" spans="1:61" ht="13.8" x14ac:dyDescent="0.25">
      <c r="A49" s="223" t="s">
        <v>399</v>
      </c>
      <c r="B49" s="224" t="s">
        <v>146</v>
      </c>
      <c r="C49" s="224">
        <v>18</v>
      </c>
      <c r="D49" s="224" t="s">
        <v>400</v>
      </c>
      <c r="E49" s="225" t="str">
        <f t="shared" ca="1" si="0"/>
        <v>R</v>
      </c>
      <c r="F49" s="347"/>
      <c r="G49" s="348">
        <f t="shared" ca="1" si="1"/>
        <v>50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4"/>
        <v>48</v>
      </c>
      <c r="AK49" s="169" t="str">
        <f t="shared" ca="1" si="19"/>
        <v>BBB</v>
      </c>
      <c r="AL49" s="169">
        <f t="shared" ca="1" si="19"/>
        <v>18</v>
      </c>
      <c r="AM49" s="169" t="str">
        <f t="shared" ca="1" si="5"/>
        <v/>
      </c>
      <c r="AQ49" s="207" t="s">
        <v>294</v>
      </c>
      <c r="AR49" s="207" t="s">
        <v>145</v>
      </c>
      <c r="AS49" s="207">
        <v>19</v>
      </c>
      <c r="AT49" s="207" t="s">
        <v>295</v>
      </c>
      <c r="AV49" s="168">
        <f t="shared" si="20"/>
        <v>13</v>
      </c>
      <c r="AW49" s="168">
        <f>COUNTIF( AV$7:AV49, AV49 )</f>
        <v>9</v>
      </c>
      <c r="AX49" s="208">
        <f t="shared" si="21"/>
        <v>13.9</v>
      </c>
      <c r="AY49" s="168">
        <f t="shared" si="22"/>
        <v>21</v>
      </c>
      <c r="AZ49" s="169"/>
      <c r="BA49" s="169"/>
      <c r="BC49" s="168">
        <f t="shared" ca="1" si="23"/>
        <v>43</v>
      </c>
      <c r="BD49" s="209">
        <f t="shared" ca="1" si="7"/>
        <v>49</v>
      </c>
      <c r="BF49" s="173" t="str">
        <f t="shared" ca="1" si="24"/>
        <v>UIL Holdings Corporation</v>
      </c>
      <c r="BG49" s="173" t="str">
        <f t="shared" ca="1" si="24"/>
        <v>BBB</v>
      </c>
      <c r="BH49" s="173">
        <f t="shared" ca="1" si="24"/>
        <v>18</v>
      </c>
      <c r="BI49" s="173" t="str">
        <f t="shared" ca="1" si="24"/>
        <v>UIL</v>
      </c>
    </row>
    <row r="50" spans="1:61" ht="13.8" x14ac:dyDescent="0.25">
      <c r="A50" s="223" t="s">
        <v>364</v>
      </c>
      <c r="B50" s="224" t="s">
        <v>146</v>
      </c>
      <c r="C50" s="224">
        <v>18</v>
      </c>
      <c r="D50" s="224" t="s">
        <v>365</v>
      </c>
      <c r="E50" s="225" t="str">
        <f t="shared" ca="1" si="0"/>
        <v>R</v>
      </c>
      <c r="F50" s="347"/>
      <c r="G50" s="348">
        <f t="shared" ca="1" si="1"/>
        <v>54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4"/>
        <v>49</v>
      </c>
      <c r="AK50" s="169" t="str">
        <f t="shared" ca="1" si="19"/>
        <v>BBB</v>
      </c>
      <c r="AL50" s="169">
        <f t="shared" ca="1" si="19"/>
        <v>18</v>
      </c>
      <c r="AM50" s="169" t="str">
        <f t="shared" ca="1" si="5"/>
        <v/>
      </c>
      <c r="AQ50" s="207" t="s">
        <v>310</v>
      </c>
      <c r="AR50" s="207" t="s">
        <v>178</v>
      </c>
      <c r="AS50" s="207">
        <v>16</v>
      </c>
      <c r="AT50" s="207" t="s">
        <v>311</v>
      </c>
      <c r="AV50" s="168">
        <f t="shared" si="20"/>
        <v>51</v>
      </c>
      <c r="AW50" s="168">
        <f>COUNTIF( AV$7:AV50, AV50 )</f>
        <v>1</v>
      </c>
      <c r="AX50" s="208">
        <f t="shared" si="21"/>
        <v>51.1</v>
      </c>
      <c r="AY50" s="168">
        <f t="shared" si="22"/>
        <v>51</v>
      </c>
      <c r="AZ50" s="169"/>
      <c r="BA50" s="169"/>
      <c r="BC50" s="168">
        <f t="shared" ca="1" si="23"/>
        <v>44</v>
      </c>
      <c r="BD50" s="209">
        <f t="shared" ca="1" si="7"/>
        <v>51</v>
      </c>
      <c r="BF50" s="173" t="str">
        <f t="shared" ca="1" si="24"/>
        <v>Westar Energy, Inc.</v>
      </c>
      <c r="BG50" s="173" t="str">
        <f t="shared" ca="1" si="24"/>
        <v>BBB</v>
      </c>
      <c r="BH50" s="173">
        <f t="shared" ca="1" si="24"/>
        <v>18</v>
      </c>
      <c r="BI50" s="173" t="str">
        <f t="shared" ca="1" si="24"/>
        <v>WR</v>
      </c>
    </row>
    <row r="51" spans="1:61" ht="13.8" x14ac:dyDescent="0.2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0"/>
        <v>R</v>
      </c>
      <c r="F51" s="347"/>
      <c r="G51" s="348">
        <f t="shared" ca="1" si="1"/>
        <v>20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4"/>
        <v>51</v>
      </c>
      <c r="AK51" s="169" t="str">
        <f t="shared" ca="1" si="19"/>
        <v>BBB-</v>
      </c>
      <c r="AL51" s="169">
        <f t="shared" ca="1" si="19"/>
        <v>17</v>
      </c>
      <c r="AM51" s="169" t="str">
        <f t="shared" ca="1" si="5"/>
        <v/>
      </c>
      <c r="AQ51" s="207" t="s">
        <v>357</v>
      </c>
      <c r="AR51" s="207" t="s">
        <v>145</v>
      </c>
      <c r="AS51" s="207">
        <v>19</v>
      </c>
      <c r="AT51" s="207" t="s">
        <v>358</v>
      </c>
      <c r="AV51" s="168">
        <f t="shared" si="20"/>
        <v>13</v>
      </c>
      <c r="AW51" s="168">
        <f>COUNTIF( AV$7:AV51, AV51 )</f>
        <v>10</v>
      </c>
      <c r="AX51" s="208">
        <f t="shared" si="21"/>
        <v>14</v>
      </c>
      <c r="AY51" s="168">
        <f t="shared" si="22"/>
        <v>22</v>
      </c>
      <c r="AZ51" s="169"/>
      <c r="BA51" s="169"/>
      <c r="BC51" s="168">
        <f t="shared" ca="1" si="23"/>
        <v>45</v>
      </c>
      <c r="BD51" s="209">
        <f t="shared" ca="1" si="7"/>
        <v>15</v>
      </c>
      <c r="BF51" s="173" t="str">
        <f t="shared" ca="1" si="24"/>
        <v>Edison International</v>
      </c>
      <c r="BG51" s="173" t="str">
        <f t="shared" ca="1" si="24"/>
        <v>BBB-</v>
      </c>
      <c r="BH51" s="173">
        <f t="shared" ca="1" si="24"/>
        <v>17</v>
      </c>
      <c r="BI51" s="173" t="str">
        <f t="shared" ca="1" si="24"/>
        <v>EIX</v>
      </c>
    </row>
    <row r="52" spans="1:61" ht="13.8" x14ac:dyDescent="0.2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0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4"/>
        <v>52</v>
      </c>
      <c r="AK52" s="169" t="str">
        <f t="shared" ca="1" si="19"/>
        <v>BBB-</v>
      </c>
      <c r="AL52" s="169">
        <f t="shared" ca="1" si="19"/>
        <v>17</v>
      </c>
      <c r="AM52" s="169" t="str">
        <f t="shared" ca="1" si="5"/>
        <v/>
      </c>
      <c r="AQ52" s="207" t="s">
        <v>296</v>
      </c>
      <c r="AR52" s="207" t="s">
        <v>145</v>
      </c>
      <c r="AS52" s="207">
        <v>19</v>
      </c>
      <c r="AT52" s="207" t="s">
        <v>297</v>
      </c>
      <c r="AV52" s="168">
        <f t="shared" si="20"/>
        <v>13</v>
      </c>
      <c r="AW52" s="168">
        <f>COUNTIF( AV$7:AV52, AV52 )</f>
        <v>11</v>
      </c>
      <c r="AX52" s="208">
        <f t="shared" si="21"/>
        <v>14.1</v>
      </c>
      <c r="AY52" s="168">
        <f t="shared" si="22"/>
        <v>23</v>
      </c>
      <c r="AZ52" s="169"/>
      <c r="BA52" s="169"/>
      <c r="BC52" s="168">
        <f t="shared" ca="1" si="23"/>
        <v>46</v>
      </c>
      <c r="BD52" s="209">
        <f t="shared" ca="1" si="7"/>
        <v>21</v>
      </c>
      <c r="BF52" s="173" t="str">
        <f t="shared" ca="1" si="24"/>
        <v>FirstEnergy Corp.</v>
      </c>
      <c r="BG52" s="173" t="str">
        <f t="shared" ca="1" si="24"/>
        <v>BBB-</v>
      </c>
      <c r="BH52" s="173">
        <f t="shared" ca="1" si="24"/>
        <v>17</v>
      </c>
      <c r="BI52" s="173" t="str">
        <f t="shared" ca="1" si="24"/>
        <v>FE</v>
      </c>
    </row>
    <row r="53" spans="1:61" ht="13.8" x14ac:dyDescent="0.2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0"/>
        <v>MR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4"/>
        <v>53</v>
      </c>
      <c r="AK53" s="169" t="str">
        <f t="shared" ca="1" si="19"/>
        <v>BBB-</v>
      </c>
      <c r="AL53" s="169">
        <f t="shared" ca="1" si="19"/>
        <v>17</v>
      </c>
      <c r="AM53" s="169" t="str">
        <f t="shared" ca="1" si="5"/>
        <v/>
      </c>
      <c r="AQ53" s="207" t="s">
        <v>298</v>
      </c>
      <c r="AR53" s="207" t="s">
        <v>171</v>
      </c>
      <c r="AS53" s="207">
        <v>21</v>
      </c>
      <c r="AT53" s="207" t="s">
        <v>299</v>
      </c>
      <c r="AV53" s="168">
        <f t="shared" si="20"/>
        <v>1</v>
      </c>
      <c r="AW53" s="168">
        <f>COUNTIF( AV$7:AV53, AV53 )</f>
        <v>1</v>
      </c>
      <c r="AX53" s="208">
        <f t="shared" si="21"/>
        <v>1.1000000000000001</v>
      </c>
      <c r="AY53" s="168">
        <f t="shared" si="22"/>
        <v>1</v>
      </c>
      <c r="AZ53" s="169"/>
      <c r="BA53" s="169"/>
      <c r="BC53" s="168">
        <f t="shared" ca="1" si="23"/>
        <v>47</v>
      </c>
      <c r="BD53" s="209">
        <f t="shared" ca="1" si="7"/>
        <v>23</v>
      </c>
      <c r="BF53" s="173" t="str">
        <f t="shared" ca="1" si="24"/>
        <v>Hawaiian Electric Industries, Inc.</v>
      </c>
      <c r="BG53" s="173" t="str">
        <f t="shared" ca="1" si="24"/>
        <v>BBB-</v>
      </c>
      <c r="BH53" s="173">
        <f t="shared" ca="1" si="24"/>
        <v>17</v>
      </c>
      <c r="BI53" s="173" t="str">
        <f t="shared" ca="1" si="24"/>
        <v>HE</v>
      </c>
    </row>
    <row r="54" spans="1:61" ht="13.8" x14ac:dyDescent="0.25">
      <c r="A54" s="223" t="s">
        <v>292</v>
      </c>
      <c r="B54" s="224" t="s">
        <v>147</v>
      </c>
      <c r="C54" s="224">
        <v>17</v>
      </c>
      <c r="D54" s="224" t="s">
        <v>293</v>
      </c>
      <c r="E54" s="225" t="str">
        <f t="shared" ca="1" si="0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4"/>
        <v>54</v>
      </c>
      <c r="AK54" s="169" t="str">
        <f t="shared" ca="1" si="19"/>
        <v>BBB-</v>
      </c>
      <c r="AL54" s="169">
        <f t="shared" ca="1" si="19"/>
        <v>17</v>
      </c>
      <c r="AM54" s="169" t="str">
        <f t="shared" ca="1" si="5"/>
        <v/>
      </c>
      <c r="AQ54" s="207" t="s">
        <v>379</v>
      </c>
      <c r="AR54" s="207" t="s">
        <v>145</v>
      </c>
      <c r="AS54" s="207">
        <v>19</v>
      </c>
      <c r="AT54" s="207" t="s">
        <v>385</v>
      </c>
      <c r="AV54" s="168">
        <f t="shared" si="20"/>
        <v>13</v>
      </c>
      <c r="AW54" s="168">
        <f>COUNTIF( AV$7:AV54, AV54 )</f>
        <v>12</v>
      </c>
      <c r="AX54" s="208">
        <f t="shared" si="21"/>
        <v>14.2</v>
      </c>
      <c r="AY54" s="168">
        <f t="shared" si="22"/>
        <v>24</v>
      </c>
      <c r="AZ54" s="169"/>
      <c r="BA54" s="169"/>
      <c r="BC54" s="168">
        <f t="shared" ca="1" si="23"/>
        <v>48</v>
      </c>
      <c r="BD54" s="209">
        <f t="shared" ca="1" si="7"/>
        <v>27</v>
      </c>
      <c r="BF54" s="173" t="str">
        <f t="shared" ca="1" si="24"/>
        <v>IPALCO Enterprises, Inc.</v>
      </c>
      <c r="BG54" s="173" t="str">
        <f t="shared" ca="1" si="24"/>
        <v>BBB-</v>
      </c>
      <c r="BH54" s="173">
        <f t="shared" ca="1" si="24"/>
        <v>17</v>
      </c>
      <c r="BI54" s="173" t="str">
        <f t="shared" ca="1" si="24"/>
        <v>**IPALCO</v>
      </c>
    </row>
    <row r="55" spans="1:61" ht="13.8" x14ac:dyDescent="0.2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0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4"/>
        <v>55</v>
      </c>
      <c r="AK55" s="169" t="str">
        <f t="shared" ca="1" si="19"/>
        <v>BBB-</v>
      </c>
      <c r="AL55" s="169">
        <f t="shared" ca="1" si="19"/>
        <v>17</v>
      </c>
      <c r="AM55" s="169" t="str">
        <f t="shared" ca="1" si="5"/>
        <v/>
      </c>
      <c r="AQ55" s="207" t="s">
        <v>399</v>
      </c>
      <c r="AR55" s="207" t="s">
        <v>146</v>
      </c>
      <c r="AS55" s="207">
        <v>18</v>
      </c>
      <c r="AT55" s="207" t="s">
        <v>400</v>
      </c>
      <c r="AV55" s="168">
        <f t="shared" si="20"/>
        <v>25</v>
      </c>
      <c r="AW55" s="168">
        <f>COUNTIF( AV$7:AV55, AV55 )</f>
        <v>19</v>
      </c>
      <c r="AX55" s="208">
        <f t="shared" si="21"/>
        <v>26.9</v>
      </c>
      <c r="AY55" s="168">
        <f t="shared" si="22"/>
        <v>43</v>
      </c>
      <c r="AZ55" s="169"/>
      <c r="BA55" s="169"/>
      <c r="BC55" s="168">
        <f t="shared" ca="1" si="23"/>
        <v>49</v>
      </c>
      <c r="BD55" s="209">
        <f t="shared" ca="1" si="7"/>
        <v>31</v>
      </c>
      <c r="BF55" s="173" t="str">
        <f t="shared" ca="1" si="24"/>
        <v>NiSource Inc.</v>
      </c>
      <c r="BG55" s="173" t="str">
        <f t="shared" ca="1" si="24"/>
        <v>BBB-</v>
      </c>
      <c r="BH55" s="173">
        <f t="shared" ca="1" si="24"/>
        <v>17</v>
      </c>
      <c r="BI55" s="173" t="str">
        <f t="shared" ca="1" si="24"/>
        <v>NI</v>
      </c>
    </row>
    <row r="56" spans="1:61" ht="13.8" x14ac:dyDescent="0.25">
      <c r="A56" s="223" t="s">
        <v>421</v>
      </c>
      <c r="B56" s="224" t="s">
        <v>147</v>
      </c>
      <c r="C56" s="224">
        <v>17</v>
      </c>
      <c r="D56" s="224" t="s">
        <v>422</v>
      </c>
      <c r="E56" s="225" t="str">
        <f t="shared" ca="1" si="0"/>
        <v>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4"/>
        <v>56</v>
      </c>
      <c r="AK56" s="169" t="str">
        <f t="shared" ca="1" si="19"/>
        <v>BBB-</v>
      </c>
      <c r="AL56" s="169">
        <f t="shared" ca="1" si="19"/>
        <v>17</v>
      </c>
      <c r="AM56" s="169" t="str">
        <f t="shared" ca="1" si="5"/>
        <v/>
      </c>
      <c r="AQ56" s="207" t="s">
        <v>355</v>
      </c>
      <c r="AR56" s="207" t="s">
        <v>144</v>
      </c>
      <c r="AS56" s="207">
        <v>20</v>
      </c>
      <c r="AT56" s="207" t="s">
        <v>356</v>
      </c>
      <c r="AV56" s="168">
        <f t="shared" si="20"/>
        <v>2</v>
      </c>
      <c r="AW56" s="168">
        <f>COUNTIF( AV$7:AV56, AV56 )</f>
        <v>9</v>
      </c>
      <c r="AX56" s="208">
        <f t="shared" si="21"/>
        <v>2.9</v>
      </c>
      <c r="AY56" s="168">
        <f t="shared" si="22"/>
        <v>10</v>
      </c>
      <c r="AZ56" s="169"/>
      <c r="BA56" s="169"/>
      <c r="BC56" s="168">
        <f t="shared" ca="1" si="23"/>
        <v>50</v>
      </c>
      <c r="BD56" s="209">
        <f t="shared" ca="1" si="7"/>
        <v>34</v>
      </c>
      <c r="BF56" s="173" t="str">
        <f t="shared" ca="1" si="24"/>
        <v>NV Energy, Inc.</v>
      </c>
      <c r="BG56" s="173" t="str">
        <f t="shared" ca="1" si="24"/>
        <v>BBB-</v>
      </c>
      <c r="BH56" s="173">
        <f t="shared" ca="1" si="24"/>
        <v>17</v>
      </c>
      <c r="BI56" s="173" t="str">
        <f t="shared" ca="1" si="24"/>
        <v>NVE</v>
      </c>
    </row>
    <row r="57" spans="1:61" ht="13.8" x14ac:dyDescent="0.25">
      <c r="A57" s="223" t="s">
        <v>310</v>
      </c>
      <c r="B57" s="224" t="s">
        <v>178</v>
      </c>
      <c r="C57" s="224">
        <v>16</v>
      </c>
      <c r="D57" s="224" t="s">
        <v>311</v>
      </c>
      <c r="E57" s="225" t="str">
        <f t="shared" ca="1" si="0"/>
        <v>R</v>
      </c>
      <c r="F57" s="347"/>
      <c r="G57" s="348">
        <f t="shared" ca="1" si="1"/>
        <v>63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4"/>
        <v>57</v>
      </c>
      <c r="AK57" s="169" t="str">
        <f t="shared" ca="1" si="19"/>
        <v>BB+</v>
      </c>
      <c r="AL57" s="169">
        <f t="shared" ca="1" si="19"/>
        <v>16</v>
      </c>
      <c r="AM57" s="169" t="str">
        <f t="shared" ca="1" si="5"/>
        <v/>
      </c>
      <c r="AQ57" s="207" t="s">
        <v>364</v>
      </c>
      <c r="AR57" s="207" t="s">
        <v>146</v>
      </c>
      <c r="AS57" s="207">
        <v>18</v>
      </c>
      <c r="AT57" s="207" t="s">
        <v>365</v>
      </c>
      <c r="AV57" s="168">
        <f t="shared" si="20"/>
        <v>25</v>
      </c>
      <c r="AW57" s="168">
        <f>COUNTIF( AV$7:AV57, AV57 )</f>
        <v>20</v>
      </c>
      <c r="AX57" s="208">
        <f t="shared" si="21"/>
        <v>27</v>
      </c>
      <c r="AY57" s="168">
        <f t="shared" si="22"/>
        <v>44</v>
      </c>
      <c r="AZ57" s="169"/>
      <c r="BA57" s="169"/>
      <c r="BC57" s="168">
        <f t="shared" ca="1" si="23"/>
        <v>51</v>
      </c>
      <c r="BD57" s="209">
        <f t="shared" ca="1" si="7"/>
        <v>44</v>
      </c>
      <c r="BF57" s="173" t="str">
        <f t="shared" ca="1" si="24"/>
        <v>Puget Energy, Inc.</v>
      </c>
      <c r="BG57" s="173" t="str">
        <f t="shared" ca="1" si="24"/>
        <v>BB+</v>
      </c>
      <c r="BH57" s="173">
        <f t="shared" ca="1" si="24"/>
        <v>16</v>
      </c>
      <c r="BI57" s="173" t="str">
        <f t="shared" ca="1" si="24"/>
        <v>**PSD</v>
      </c>
    </row>
    <row r="58" spans="1:61" ht="13.8" x14ac:dyDescent="0.2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0"/>
        <v>R</v>
      </c>
      <c r="F58" s="347"/>
      <c r="G58" s="348">
        <f t="shared" ca="1" si="1"/>
        <v>59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4"/>
        <v>58</v>
      </c>
      <c r="AK58" s="169" t="str">
        <f t="shared" ca="1" si="19"/>
        <v>BB</v>
      </c>
      <c r="AL58" s="169">
        <f t="shared" ca="1" si="19"/>
        <v>15</v>
      </c>
      <c r="AM58" s="169" t="str">
        <f t="shared" ca="1" si="5"/>
        <v/>
      </c>
      <c r="AQ58" s="207" t="s">
        <v>252</v>
      </c>
      <c r="AR58" s="207" t="s">
        <v>144</v>
      </c>
      <c r="AS58" s="207">
        <v>20</v>
      </c>
      <c r="AT58" s="207" t="s">
        <v>253</v>
      </c>
      <c r="AV58" s="168">
        <f t="shared" si="20"/>
        <v>2</v>
      </c>
      <c r="AW58" s="168">
        <f>COUNTIF( AV$7:AV58, AV58 )</f>
        <v>10</v>
      </c>
      <c r="AX58" s="208">
        <f t="shared" si="21"/>
        <v>3</v>
      </c>
      <c r="AY58" s="168">
        <f t="shared" si="22"/>
        <v>11</v>
      </c>
      <c r="AZ58" s="169"/>
      <c r="BA58" s="169"/>
      <c r="BC58" s="168">
        <f t="shared" ca="1" si="23"/>
        <v>52</v>
      </c>
      <c r="BD58" s="209">
        <f t="shared" ca="1" si="7"/>
        <v>12</v>
      </c>
      <c r="BF58" s="173" t="str">
        <f t="shared" ca="1" si="24"/>
        <v>DPL Inc.</v>
      </c>
      <c r="BG58" s="173" t="str">
        <f t="shared" ca="1" si="24"/>
        <v>BB</v>
      </c>
      <c r="BH58" s="173">
        <f t="shared" ca="1" si="24"/>
        <v>15</v>
      </c>
      <c r="BI58" s="173" t="str">
        <f t="shared" ca="1" si="24"/>
        <v>**DPL</v>
      </c>
    </row>
    <row r="59" spans="1:61" ht="13.8" x14ac:dyDescent="0.25">
      <c r="A59" s="223" t="s">
        <v>381</v>
      </c>
      <c r="B59" s="224" t="s">
        <v>192</v>
      </c>
      <c r="C59" s="224">
        <v>9</v>
      </c>
      <c r="D59" s="224" t="s">
        <v>369</v>
      </c>
      <c r="E59" s="225" t="str">
        <f t="shared" ca="1" si="0"/>
        <v>D</v>
      </c>
      <c r="F59" s="347"/>
      <c r="G59" s="348">
        <f t="shared" ca="1" si="1"/>
        <v>60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8"/>
        <v/>
      </c>
      <c r="AJ59" s="169">
        <f t="shared" ca="1" si="4"/>
        <v>59</v>
      </c>
      <c r="AK59" s="169" t="str">
        <f t="shared" ca="1" si="19"/>
        <v>CCC</v>
      </c>
      <c r="AL59" s="169">
        <f t="shared" ca="1" si="19"/>
        <v>9</v>
      </c>
      <c r="AM59" s="169" t="str">
        <f t="shared" ca="1" si="5"/>
        <v/>
      </c>
      <c r="AQ59" s="207" t="s">
        <v>256</v>
      </c>
      <c r="AR59" s="207" t="s">
        <v>144</v>
      </c>
      <c r="AS59" s="207">
        <v>20</v>
      </c>
      <c r="AT59" s="207" t="s">
        <v>257</v>
      </c>
      <c r="AV59" s="168">
        <f t="shared" si="20"/>
        <v>2</v>
      </c>
      <c r="AW59" s="168">
        <f>COUNTIF( AV$7:AV59, AV59 )</f>
        <v>11</v>
      </c>
      <c r="AX59" s="208">
        <f t="shared" si="21"/>
        <v>3.1</v>
      </c>
      <c r="AY59" s="168">
        <f t="shared" si="22"/>
        <v>12</v>
      </c>
      <c r="AZ59" s="169"/>
      <c r="BA59" s="169"/>
      <c r="BC59" s="168">
        <f t="shared" ca="1" si="23"/>
        <v>53</v>
      </c>
      <c r="BD59" s="209">
        <f t="shared" ca="1" si="7"/>
        <v>18</v>
      </c>
      <c r="BF59" s="173" t="str">
        <f t="shared" ca="1" si="24"/>
        <v>Energy Future Holdings Corp.</v>
      </c>
      <c r="BG59" s="173" t="str">
        <f t="shared" ca="1" si="24"/>
        <v>CCC</v>
      </c>
      <c r="BH59" s="173">
        <f t="shared" ca="1" si="24"/>
        <v>9</v>
      </c>
      <c r="BI59" s="173" t="str">
        <f t="shared" ca="1" si="24"/>
        <v>**EFH</v>
      </c>
    </row>
    <row r="60" spans="1:61" ht="13.8" x14ac:dyDescent="0.25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4"/>
        <v>#N/A</v>
      </c>
      <c r="AK60" s="169" t="str">
        <f t="shared" ca="1" si="19"/>
        <v/>
      </c>
      <c r="AL60" s="169" t="str">
        <f t="shared" ca="1" si="19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0"/>
        <v>99</v>
      </c>
      <c r="AW60" s="168">
        <f>COUNTIF( AV$7:AV60, AV60 )</f>
        <v>1</v>
      </c>
      <c r="AX60" s="208">
        <f t="shared" si="21"/>
        <v>99.1</v>
      </c>
      <c r="AY60" s="168">
        <f t="shared" si="22"/>
        <v>54</v>
      </c>
      <c r="AZ60" s="169"/>
      <c r="BA60" s="169"/>
      <c r="BC60" s="168">
        <f t="shared" ca="1" si="23"/>
        <v>54</v>
      </c>
      <c r="BD60" s="209">
        <f t="shared" ca="1" si="7"/>
        <v>54</v>
      </c>
      <c r="BF60" s="173">
        <f t="shared" ca="1" si="24"/>
        <v>0</v>
      </c>
      <c r="BG60" s="173">
        <f t="shared" ca="1" si="24"/>
        <v>0</v>
      </c>
      <c r="BH60" s="173">
        <f t="shared" ca="1" si="24"/>
        <v>0</v>
      </c>
      <c r="BI60" s="173">
        <f t="shared" ca="1" si="24"/>
        <v>0</v>
      </c>
    </row>
    <row r="61" spans="1:61" ht="14.4" thickBot="1" x14ac:dyDescent="0.3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8"/>
        <v/>
      </c>
      <c r="AJ61" s="169" t="e">
        <f t="shared" ca="1" si="4"/>
        <v>#N/A</v>
      </c>
      <c r="AK61" s="169" t="str">
        <f t="shared" ca="1" si="19"/>
        <v/>
      </c>
      <c r="AL61" s="169" t="str">
        <f t="shared" ca="1" si="19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0"/>
        <v>99</v>
      </c>
      <c r="AW61" s="168">
        <f>COUNTIF( AV$7:AV61, AV61 )</f>
        <v>2</v>
      </c>
      <c r="AX61" s="208">
        <f t="shared" si="21"/>
        <v>99.2</v>
      </c>
      <c r="AY61" s="168">
        <f t="shared" si="22"/>
        <v>55</v>
      </c>
      <c r="AZ61" s="169"/>
      <c r="BA61" s="169"/>
      <c r="BC61" s="168">
        <f t="shared" ca="1" si="23"/>
        <v>55</v>
      </c>
      <c r="BD61" s="209">
        <f t="shared" ca="1" si="7"/>
        <v>55</v>
      </c>
      <c r="BF61" s="173">
        <f t="shared" ca="1" si="24"/>
        <v>0</v>
      </c>
      <c r="BG61" s="173">
        <f t="shared" ca="1" si="24"/>
        <v>0</v>
      </c>
      <c r="BH61" s="173">
        <f t="shared" ca="1" si="24"/>
        <v>0</v>
      </c>
      <c r="BI61" s="173">
        <f t="shared" ca="1" si="24"/>
        <v>0</v>
      </c>
    </row>
    <row r="62" spans="1:61" ht="13.8" x14ac:dyDescent="0.25">
      <c r="A62" s="226" t="s">
        <v>394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31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8"/>
        <v/>
      </c>
      <c r="AJ62" s="169">
        <f t="shared" ca="1" si="4"/>
        <v>62</v>
      </c>
      <c r="AK62" s="169" t="str">
        <f t="shared" ca="1" si="19"/>
        <v>AA-</v>
      </c>
      <c r="AL62" s="169">
        <f t="shared" ca="1" si="19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0"/>
        <v>99</v>
      </c>
      <c r="AW62" s="168">
        <f>COUNTIF( AV$7:AV62, AV62 )</f>
        <v>3</v>
      </c>
      <c r="AX62" s="208">
        <f t="shared" si="21"/>
        <v>99.3</v>
      </c>
      <c r="AY62" s="168">
        <f t="shared" si="22"/>
        <v>56</v>
      </c>
      <c r="AZ62" s="169"/>
      <c r="BA62" s="169"/>
      <c r="BC62" s="168">
        <f t="shared" ca="1" si="23"/>
        <v>56</v>
      </c>
      <c r="BD62" s="209">
        <f t="shared" ca="1" si="7"/>
        <v>56</v>
      </c>
      <c r="BF62" s="173">
        <f t="shared" ca="1" si="24"/>
        <v>0</v>
      </c>
      <c r="BG62" s="173">
        <f t="shared" ca="1" si="24"/>
        <v>0</v>
      </c>
      <c r="BH62" s="173">
        <f t="shared" ca="1" si="24"/>
        <v>0</v>
      </c>
      <c r="BI62" s="173">
        <f t="shared" ca="1" si="24"/>
        <v>0</v>
      </c>
    </row>
    <row r="63" spans="1:61" ht="13.8" x14ac:dyDescent="0.25">
      <c r="A63" s="223" t="s">
        <v>409</v>
      </c>
      <c r="B63" s="224" t="s">
        <v>146</v>
      </c>
      <c r="C63" s="224">
        <v>18</v>
      </c>
      <c r="D63" s="224" t="s">
        <v>410</v>
      </c>
      <c r="E63" s="225" t="str">
        <f ca="1">OFFSET( INDIRECT( E$3 &amp; E$4 ), $G63 - 1, 0 )</f>
        <v>R</v>
      </c>
      <c r="F63" s="347"/>
      <c r="G63" s="348">
        <f t="shared" ca="1" si="1"/>
        <v>52</v>
      </c>
      <c r="H63" s="349"/>
      <c r="I63" s="349"/>
      <c r="AF63" s="169">
        <f t="shared" si="2"/>
        <v>0</v>
      </c>
      <c r="AG63" s="169">
        <f t="shared" ca="1" si="3"/>
        <v>1</v>
      </c>
      <c r="AH63" s="169" t="str">
        <f t="shared" ca="1" si="18"/>
        <v/>
      </c>
      <c r="AJ63" s="169">
        <f t="shared" ca="1" si="4"/>
        <v>63</v>
      </c>
      <c r="AK63" s="169" t="str">
        <f t="shared" ca="1" si="19"/>
        <v>BB+</v>
      </c>
      <c r="AL63" s="169">
        <f t="shared" ca="1" si="19"/>
        <v>16</v>
      </c>
      <c r="AM63" s="169" t="str">
        <f t="shared" ca="1" si="5"/>
        <v>Change</v>
      </c>
      <c r="AQ63" s="207"/>
      <c r="AR63" s="207"/>
      <c r="AS63" s="207"/>
      <c r="AT63" s="207"/>
      <c r="AU63" s="207"/>
      <c r="AV63" s="168">
        <f t="shared" si="20"/>
        <v>99</v>
      </c>
      <c r="AW63" s="168">
        <f>COUNTIF( AV$7:AV63, AV63 )</f>
        <v>4</v>
      </c>
      <c r="AX63" s="208">
        <f t="shared" si="21"/>
        <v>99.4</v>
      </c>
      <c r="AY63" s="168">
        <f t="shared" si="22"/>
        <v>57</v>
      </c>
      <c r="AZ63" s="169"/>
      <c r="BA63" s="169"/>
      <c r="BC63" s="168">
        <f t="shared" ca="1" si="23"/>
        <v>57</v>
      </c>
      <c r="BD63" s="209">
        <f ca="1">MATCH( BC63, $AY$7:$AY$63, 0 )</f>
        <v>57</v>
      </c>
      <c r="BF63" s="173">
        <f t="shared" ca="1" si="24"/>
        <v>0</v>
      </c>
      <c r="BG63" s="173">
        <f t="shared" ca="1" si="24"/>
        <v>0</v>
      </c>
      <c r="BH63" s="173">
        <f t="shared" ca="1" si="24"/>
        <v>0</v>
      </c>
      <c r="BI63" s="173">
        <f t="shared" ca="1" si="24"/>
        <v>0</v>
      </c>
    </row>
    <row r="64" spans="1:61" ht="13.8" x14ac:dyDescent="0.25">
      <c r="A64" s="223" t="s">
        <v>411</v>
      </c>
      <c r="B64" s="224"/>
      <c r="C64" s="224"/>
      <c r="D64" s="224" t="s">
        <v>386</v>
      </c>
      <c r="E64" s="225" t="str">
        <f ca="1">OFFSET( INDIRECT( E$3 &amp; E$4 ), $G64 - 1, 0 )</f>
        <v>R</v>
      </c>
      <c r="F64" s="347"/>
      <c r="G64" s="348">
        <f t="shared" ca="1" si="1"/>
        <v>51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4"/>
        <v>64</v>
      </c>
      <c r="AK64" s="169">
        <f t="shared" ca="1" si="19"/>
        <v>0</v>
      </c>
      <c r="AL64" s="169">
        <f t="shared" ca="1" si="19"/>
        <v>0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4"/>
        <v>#N/A</v>
      </c>
      <c r="AK65" s="169" t="str">
        <f t="shared" ca="1" si="19"/>
        <v/>
      </c>
      <c r="AL65" s="169" t="str">
        <f t="shared" ca="1" si="19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5">IF( LEN( $C66 ) = 0, "", IF( $C66 &gt; $AL66, 1, "" ) )</f>
        <v/>
      </c>
      <c r="AH66" s="169" t="str">
        <f t="shared" si="18"/>
        <v/>
      </c>
      <c r="AJ66" s="169" t="e">
        <f t="shared" ca="1" si="4"/>
        <v>#N/A</v>
      </c>
      <c r="AK66" s="169" t="str">
        <f t="shared" ca="1" si="19"/>
        <v/>
      </c>
      <c r="AL66" s="169" t="str">
        <f t="shared" ca="1" si="19"/>
        <v/>
      </c>
      <c r="AM66" s="169" t="str">
        <f t="shared" ca="1" si="5"/>
        <v/>
      </c>
      <c r="AQ66" s="207" t="s">
        <v>394</v>
      </c>
      <c r="AR66" s="207" t="s">
        <v>167</v>
      </c>
      <c r="AS66" s="207">
        <v>23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5"/>
        <v/>
      </c>
      <c r="AH67" s="169" t="str">
        <f t="shared" si="18"/>
        <v/>
      </c>
      <c r="AJ67" s="169" t="e">
        <f t="shared" ca="1" si="4"/>
        <v>#N/A</v>
      </c>
      <c r="AK67" s="169" t="str">
        <f t="shared" ca="1" si="19"/>
        <v/>
      </c>
      <c r="AL67" s="169" t="str">
        <f t="shared" ca="1" si="19"/>
        <v/>
      </c>
      <c r="AM67" s="169" t="str">
        <f t="shared" ca="1" si="5"/>
        <v/>
      </c>
      <c r="AQ67" s="207" t="s">
        <v>412</v>
      </c>
      <c r="AR67" s="207" t="s">
        <v>146</v>
      </c>
      <c r="AS67" s="207">
        <v>18</v>
      </c>
      <c r="AT67" s="207" t="s">
        <v>410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18.399999999999999</v>
      </c>
      <c r="D68" s="201"/>
      <c r="E68" s="201"/>
      <c r="F68" s="349"/>
      <c r="H68" s="349"/>
      <c r="I68" s="349"/>
      <c r="J68" s="350"/>
      <c r="K68" s="350"/>
      <c r="AQ68" s="207" t="s">
        <v>411</v>
      </c>
      <c r="AR68" s="207"/>
      <c r="AS68" s="207"/>
      <c r="AT68" s="207" t="s">
        <v>386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413</v>
      </c>
      <c r="D74" s="204"/>
      <c r="F74" s="206"/>
      <c r="H74" s="206"/>
      <c r="I74" s="206"/>
    </row>
    <row r="75" spans="1:58" x14ac:dyDescent="0.2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18.509090909090908</v>
      </c>
      <c r="E78" s="191"/>
      <c r="G78" s="352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-- 2013 Q2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8" hidden="1" outlineLevel="1" x14ac:dyDescent="0.25">
      <c r="A2" s="167"/>
      <c r="E2" s="171" t="str">
        <f>G2</f>
        <v>Reg_Percent_2012</v>
      </c>
      <c r="G2" s="172" t="s">
        <v>415</v>
      </c>
      <c r="AJ2" s="173" t="str">
        <f>AJ4 &amp; AJ3</f>
        <v>'Credit_2013Q1'!a:a</v>
      </c>
      <c r="AK2" s="173" t="str">
        <f>AK4 &amp; AK3</f>
        <v>'Credit_2013Q1'!b1</v>
      </c>
      <c r="AL2" s="173" t="str">
        <f>AL4 &amp; AL3</f>
        <v>'Credit_2013Q1'!c1</v>
      </c>
    </row>
    <row r="3" spans="1:61" ht="18" hidden="1" outlineLevel="1" x14ac:dyDescent="0.2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423</v>
      </c>
      <c r="AK4" s="169" t="str">
        <f>AJ4</f>
        <v>'Credit_2013Q1'!</v>
      </c>
      <c r="AL4" s="169" t="str">
        <f>AK4</f>
        <v>'Credit_2013Q1'!</v>
      </c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(55)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217</v>
      </c>
      <c r="B6" s="220" t="s">
        <v>53</v>
      </c>
      <c r="C6" s="249" t="s">
        <v>219</v>
      </c>
      <c r="D6" s="221"/>
      <c r="E6" s="222">
        <v>41274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4" ca="1" si="1">IF( LEN( $D7 ) = 0, "", MATCH( $D7, INDIRECT( G$3 &amp; G$4 ), 0 ) )</f>
        <v>48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2</v>
      </c>
      <c r="M8" s="214">
        <f t="shared" ref="M8:M13" si="11">IF( L8 = 0, "", L8/L$14 )</f>
        <v>3.6363636363636362E-2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8" x14ac:dyDescent="0.25">
      <c r="A9" s="223" t="s">
        <v>254</v>
      </c>
      <c r="B9" s="224" t="s">
        <v>144</v>
      </c>
      <c r="C9" s="224">
        <v>20</v>
      </c>
      <c r="D9" s="224" t="s">
        <v>255</v>
      </c>
      <c r="E9" s="225" t="str">
        <f t="shared" ca="1" si="0"/>
        <v>MR</v>
      </c>
      <c r="F9" s="347"/>
      <c r="G9" s="348">
        <f t="shared" ca="1" si="1"/>
        <v>13</v>
      </c>
      <c r="H9" s="349"/>
      <c r="I9" s="234"/>
      <c r="J9" s="215" t="s">
        <v>144</v>
      </c>
      <c r="K9" s="234"/>
      <c r="L9" s="215">
        <f t="shared" si="10"/>
        <v>11</v>
      </c>
      <c r="M9" s="216">
        <f t="shared" si="11"/>
        <v>0.2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si="2"/>
        <v>0</v>
      </c>
      <c r="AG9" s="169">
        <f t="shared" ca="1" si="3"/>
        <v>1</v>
      </c>
      <c r="AH9" s="169" t="str">
        <f t="shared" ca="1" si="19"/>
        <v/>
      </c>
      <c r="AJ9" s="169">
        <f t="shared" ca="1" si="4"/>
        <v>18</v>
      </c>
      <c r="AK9" s="169" t="str">
        <f t="shared" ca="1" si="20"/>
        <v>BBB+</v>
      </c>
      <c r="AL9" s="169">
        <f t="shared" ca="1" si="20"/>
        <v>19</v>
      </c>
      <c r="AM9" s="169" t="str">
        <f t="shared" ca="1" si="5"/>
        <v>Change</v>
      </c>
      <c r="AQ9" s="207" t="s">
        <v>230</v>
      </c>
      <c r="AR9" s="207" t="s">
        <v>146</v>
      </c>
      <c r="AS9" s="207">
        <v>18</v>
      </c>
      <c r="AT9" s="207" t="s">
        <v>231</v>
      </c>
      <c r="AV9" s="168">
        <f t="shared" si="21"/>
        <v>24</v>
      </c>
      <c r="AW9" s="168">
        <f>COUNTIF( AV$7:AV9, AV9 )</f>
        <v>1</v>
      </c>
      <c r="AX9" s="208">
        <f t="shared" si="22"/>
        <v>24.1</v>
      </c>
      <c r="AY9" s="168">
        <f t="shared" si="23"/>
        <v>24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0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si="10"/>
        <v>11</v>
      </c>
      <c r="M10" s="216">
        <f t="shared" si="11"/>
        <v>0.2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11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24</v>
      </c>
      <c r="AW10" s="168">
        <f>COUNTIF( AV$7:AV10, AV10 )</f>
        <v>2</v>
      </c>
      <c r="AX10" s="208">
        <f t="shared" si="22"/>
        <v>24.2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8" x14ac:dyDescent="0.25">
      <c r="A11" s="223" t="s">
        <v>371</v>
      </c>
      <c r="B11" s="224" t="s">
        <v>144</v>
      </c>
      <c r="C11" s="224">
        <v>20</v>
      </c>
      <c r="D11" s="224" t="s">
        <v>199</v>
      </c>
      <c r="E11" s="225" t="str">
        <f t="shared" ca="1" si="0"/>
        <v>MR</v>
      </c>
      <c r="F11" s="347"/>
      <c r="G11" s="348">
        <f t="shared" ca="1" si="1"/>
        <v>17</v>
      </c>
      <c r="H11" s="349"/>
      <c r="I11" s="234"/>
      <c r="J11" s="215" t="s">
        <v>146</v>
      </c>
      <c r="K11" s="234"/>
      <c r="L11" s="215">
        <f t="shared" si="10"/>
        <v>20</v>
      </c>
      <c r="M11" s="216">
        <f t="shared" si="11"/>
        <v>0.36363636363636365</v>
      </c>
      <c r="N11" s="234"/>
      <c r="O11" s="215">
        <f t="shared" ca="1" si="12"/>
        <v>17</v>
      </c>
      <c r="P11" s="216">
        <f t="shared" ca="1" si="13"/>
        <v>0.47222222222222221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24</v>
      </c>
      <c r="AW11" s="168">
        <f>COUNTIF( AV$7:AV11, AV11 )</f>
        <v>3</v>
      </c>
      <c r="AX11" s="208">
        <f t="shared" si="22"/>
        <v>24.3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8" x14ac:dyDescent="0.25">
      <c r="A12" s="223" t="s">
        <v>405</v>
      </c>
      <c r="B12" s="224" t="s">
        <v>144</v>
      </c>
      <c r="C12" s="224">
        <v>20</v>
      </c>
      <c r="D12" s="224" t="s">
        <v>406</v>
      </c>
      <c r="E12" s="225" t="str">
        <f t="shared" ca="1" si="0"/>
        <v>R</v>
      </c>
      <c r="F12" s="347"/>
      <c r="G12" s="348">
        <f t="shared" ca="1" si="1"/>
        <v>29</v>
      </c>
      <c r="H12" s="349"/>
      <c r="I12" s="234"/>
      <c r="J12" s="215" t="s">
        <v>147</v>
      </c>
      <c r="K12" s="234"/>
      <c r="L12" s="215">
        <f t="shared" si="10"/>
        <v>7</v>
      </c>
      <c r="M12" s="216">
        <f t="shared" si="11"/>
        <v>0.12727272727272726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7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44</v>
      </c>
      <c r="AW12" s="168">
        <f>COUNTIF( AV$7:AV12, AV12 )</f>
        <v>1</v>
      </c>
      <c r="AX12" s="208">
        <f t="shared" si="22"/>
        <v>44.1</v>
      </c>
      <c r="AY12" s="168">
        <f t="shared" si="23"/>
        <v>44</v>
      </c>
      <c r="AZ12" s="169"/>
      <c r="BA12" s="169"/>
      <c r="BC12" s="168">
        <f t="shared" ca="1" si="24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0"/>
        <v>MR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10"/>
        <v>4</v>
      </c>
      <c r="M13" s="218">
        <f t="shared" si="11"/>
        <v>7.2727272727272724E-2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254</v>
      </c>
      <c r="AR13" s="207" t="s">
        <v>144</v>
      </c>
      <c r="AS13" s="207">
        <v>20</v>
      </c>
      <c r="AT13" s="207" t="s">
        <v>255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8" x14ac:dyDescent="0.25">
      <c r="A14" s="223" t="s">
        <v>404</v>
      </c>
      <c r="B14" s="224" t="s">
        <v>144</v>
      </c>
      <c r="C14" s="224">
        <v>20</v>
      </c>
      <c r="D14" s="224" t="s">
        <v>241</v>
      </c>
      <c r="E14" s="225" t="str">
        <f t="shared" ca="1" si="0"/>
        <v>R</v>
      </c>
      <c r="F14" s="347"/>
      <c r="G14" s="348">
        <f t="shared" ca="1" si="1"/>
        <v>34</v>
      </c>
      <c r="H14" s="349"/>
      <c r="I14" s="236"/>
      <c r="J14" s="211" t="s">
        <v>149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18.436363636363637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388</v>
      </c>
      <c r="AV14" s="168">
        <f>IF( LEN( AS14 ) = 0, 99, RANK( AS14, $AS$7:$AS$63 ) )</f>
        <v>24</v>
      </c>
      <c r="AW14" s="168">
        <f>COUNTIF( AV$7:AV14, AV14 )</f>
        <v>4</v>
      </c>
      <c r="AX14" s="208">
        <f t="shared" si="22"/>
        <v>24.4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8" x14ac:dyDescent="0.25">
      <c r="A15" s="223" t="s">
        <v>282</v>
      </c>
      <c r="B15" s="224" t="s">
        <v>144</v>
      </c>
      <c r="C15" s="224">
        <v>20</v>
      </c>
      <c r="D15" s="224" t="s">
        <v>283</v>
      </c>
      <c r="E15" s="225" t="str">
        <f t="shared" ca="1" si="0"/>
        <v>MR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>
        <f t="shared" ca="1" si="3"/>
        <v>1</v>
      </c>
      <c r="AH15" s="169" t="str">
        <f t="shared" ca="1" si="19"/>
        <v/>
      </c>
      <c r="AJ15" s="169">
        <f t="shared" ca="1" si="4"/>
        <v>23</v>
      </c>
      <c r="AK15" s="169" t="str">
        <f t="shared" ca="1" si="20"/>
        <v>BBB+</v>
      </c>
      <c r="AL15" s="169">
        <f t="shared" ca="1" si="20"/>
        <v>19</v>
      </c>
      <c r="AM15" s="169" t="str">
        <f t="shared" ca="1" si="5"/>
        <v>Change</v>
      </c>
      <c r="AQ15" s="207" t="s">
        <v>261</v>
      </c>
      <c r="AR15" s="207" t="s">
        <v>146</v>
      </c>
      <c r="AS15" s="207">
        <v>18</v>
      </c>
      <c r="AT15" s="207" t="s">
        <v>262</v>
      </c>
      <c r="AV15" s="168">
        <f t="shared" si="21"/>
        <v>24</v>
      </c>
      <c r="AW15" s="168">
        <f>COUNTIF( AV$7:AV15, AV15 )</f>
        <v>5</v>
      </c>
      <c r="AX15" s="208">
        <f t="shared" si="22"/>
        <v>24.5</v>
      </c>
      <c r="AY15" s="168">
        <f t="shared" si="23"/>
        <v>28</v>
      </c>
      <c r="AZ15" s="169"/>
      <c r="BA15" s="169"/>
      <c r="BC15" s="168">
        <f t="shared" ca="1" si="24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8" x14ac:dyDescent="0.25">
      <c r="A16" s="223" t="s">
        <v>355</v>
      </c>
      <c r="B16" s="224" t="s">
        <v>144</v>
      </c>
      <c r="C16" s="224">
        <v>20</v>
      </c>
      <c r="D16" s="224" t="s">
        <v>356</v>
      </c>
      <c r="E16" s="225" t="str">
        <f t="shared" ca="1" si="0"/>
        <v>MR</v>
      </c>
      <c r="F16" s="347"/>
      <c r="G16" s="348">
        <f t="shared" ca="1" si="1"/>
        <v>53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18.327272727272728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18.25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14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14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VVC</v>
      </c>
    </row>
    <row r="17" spans="1:61" ht="13.8" x14ac:dyDescent="0.2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0"/>
        <v>R</v>
      </c>
      <c r="F17" s="347"/>
      <c r="G17" s="348">
        <f t="shared" ca="1" si="1"/>
        <v>55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15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371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WEC</v>
      </c>
    </row>
    <row r="18" spans="1:61" ht="13.8" x14ac:dyDescent="0.2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0"/>
        <v>R</v>
      </c>
      <c r="F18" s="347"/>
      <c r="G18" s="348">
        <f t="shared" ca="1" si="1"/>
        <v>56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16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5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XEL</v>
      </c>
    </row>
    <row r="19" spans="1:61" ht="13.8" x14ac:dyDescent="0.25">
      <c r="A19" s="223" t="s">
        <v>222</v>
      </c>
      <c r="B19" s="224" t="s">
        <v>145</v>
      </c>
      <c r="C19" s="224">
        <v>19</v>
      </c>
      <c r="D19" s="224" t="s">
        <v>223</v>
      </c>
      <c r="E19" s="225" t="str">
        <f t="shared" ca="1" si="0"/>
        <v>R</v>
      </c>
      <c r="F19" s="347"/>
      <c r="G19" s="348">
        <f t="shared" ca="1" si="1"/>
        <v>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17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13</v>
      </c>
      <c r="AW19" s="168">
        <f>COUNTIF( AV$7:AV19, AV19 )</f>
        <v>2</v>
      </c>
      <c r="AX19" s="208">
        <f t="shared" si="22"/>
        <v>13.2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ALE</v>
      </c>
    </row>
    <row r="20" spans="1:61" ht="13.8" x14ac:dyDescent="0.25">
      <c r="A20" s="223" t="s">
        <v>266</v>
      </c>
      <c r="B20" s="224" t="s">
        <v>145</v>
      </c>
      <c r="C20" s="224">
        <v>19</v>
      </c>
      <c r="D20" s="224" t="s">
        <v>267</v>
      </c>
      <c r="E20" s="225" t="str">
        <f t="shared" ca="1" si="0"/>
        <v>R</v>
      </c>
      <c r="F20" s="347"/>
      <c r="G20" s="348">
        <f t="shared" ca="1" si="1"/>
        <v>18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13</v>
      </c>
      <c r="AW20" s="168">
        <f>COUNTIF( AV$7:AV20, AV20 )</f>
        <v>3</v>
      </c>
      <c r="AX20" s="208">
        <f t="shared" si="22"/>
        <v>13.3</v>
      </c>
      <c r="AY20" s="168">
        <f t="shared" si="23"/>
        <v>15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ht="13.8" x14ac:dyDescent="0.25">
      <c r="A21" s="223" t="s">
        <v>268</v>
      </c>
      <c r="B21" s="224" t="s">
        <v>145</v>
      </c>
      <c r="C21" s="224">
        <v>19</v>
      </c>
      <c r="D21" s="224" t="s">
        <v>269</v>
      </c>
      <c r="E21" s="225" t="str">
        <f t="shared" ca="1" si="0"/>
        <v>R</v>
      </c>
      <c r="F21" s="347"/>
      <c r="G21" s="348">
        <f t="shared" ca="1" si="1"/>
        <v>19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44</v>
      </c>
      <c r="AW21" s="168">
        <f>COUNTIF( AV$7:AV21, AV21 )</f>
        <v>2</v>
      </c>
      <c r="AX21" s="208">
        <f t="shared" si="22"/>
        <v>44.2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14</v>
      </c>
      <c r="BF21" s="173" t="str">
        <f t="shared" ca="1" si="8"/>
        <v>Duke Energy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DUK</v>
      </c>
    </row>
    <row r="22" spans="1:61" ht="13.8" x14ac:dyDescent="0.25">
      <c r="A22" s="223" t="s">
        <v>276</v>
      </c>
      <c r="B22" s="224" t="s">
        <v>145</v>
      </c>
      <c r="C22" s="224">
        <v>19</v>
      </c>
      <c r="D22" s="224" t="s">
        <v>277</v>
      </c>
      <c r="E22" s="225" t="str">
        <f t="shared" ca="1" si="0"/>
        <v>D</v>
      </c>
      <c r="F22" s="347"/>
      <c r="G22" s="348">
        <f t="shared" ca="1" si="1"/>
        <v>30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338</v>
      </c>
      <c r="AR22" s="207" t="s">
        <v>146</v>
      </c>
      <c r="AS22" s="207">
        <v>18</v>
      </c>
      <c r="AT22" s="207" t="s">
        <v>341</v>
      </c>
      <c r="AV22" s="168">
        <f t="shared" si="21"/>
        <v>24</v>
      </c>
      <c r="AW22" s="168">
        <f>COUNTIF( AV$7:AV22, AV22 )</f>
        <v>6</v>
      </c>
      <c r="AX22" s="208">
        <f t="shared" si="22"/>
        <v>24.6</v>
      </c>
      <c r="AY22" s="168">
        <f t="shared" si="23"/>
        <v>29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8" x14ac:dyDescent="0.25">
      <c r="A23" s="223" t="s">
        <v>418</v>
      </c>
      <c r="B23" s="224" t="s">
        <v>145</v>
      </c>
      <c r="C23" s="224">
        <v>19</v>
      </c>
      <c r="D23" s="224" t="s">
        <v>221</v>
      </c>
      <c r="E23" s="225" t="str">
        <f t="shared" ca="1" si="0"/>
        <v>MR</v>
      </c>
      <c r="F23" s="347"/>
      <c r="G23" s="348">
        <f t="shared" ca="1" si="1"/>
        <v>62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377</v>
      </c>
      <c r="AR23" s="207" t="s">
        <v>146</v>
      </c>
      <c r="AS23" s="207">
        <v>18</v>
      </c>
      <c r="AT23" s="207" t="s">
        <v>378</v>
      </c>
      <c r="AV23" s="168">
        <f t="shared" si="21"/>
        <v>24</v>
      </c>
      <c r="AW23" s="168">
        <f>COUNTIF( AV$7:AV23, AV23 )</f>
        <v>7</v>
      </c>
      <c r="AX23" s="208">
        <f t="shared" si="22"/>
        <v>24.7</v>
      </c>
      <c r="AY23" s="168">
        <f t="shared" si="23"/>
        <v>30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8" x14ac:dyDescent="0.25">
      <c r="A24" s="223" t="s">
        <v>392</v>
      </c>
      <c r="B24" s="224" t="s">
        <v>145</v>
      </c>
      <c r="C24" s="224">
        <v>19</v>
      </c>
      <c r="D24" s="224" t="s">
        <v>393</v>
      </c>
      <c r="E24" s="225" t="str">
        <f t="shared" ca="1" si="0"/>
        <v>MR</v>
      </c>
      <c r="F24" s="347"/>
      <c r="G24" s="348">
        <f t="shared" ca="1" si="1"/>
        <v>39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381</v>
      </c>
      <c r="AR24" s="207" t="s">
        <v>192</v>
      </c>
      <c r="AS24" s="207">
        <v>9</v>
      </c>
      <c r="AT24" s="207" t="s">
        <v>369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ht="13.8" x14ac:dyDescent="0.25">
      <c r="A25" s="223" t="s">
        <v>286</v>
      </c>
      <c r="B25" s="224" t="s">
        <v>145</v>
      </c>
      <c r="C25" s="224">
        <v>19</v>
      </c>
      <c r="D25" s="224" t="s">
        <v>287</v>
      </c>
      <c r="E25" s="225" t="str">
        <f t="shared" ca="1" si="0"/>
        <v>R</v>
      </c>
      <c r="F25" s="347"/>
      <c r="G25" s="348">
        <f t="shared" ca="1" si="1"/>
        <v>41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24</v>
      </c>
      <c r="AW25" s="168">
        <f>COUNTIF( AV$7:AV25, AV25 )</f>
        <v>8</v>
      </c>
      <c r="AX25" s="208">
        <f t="shared" si="22"/>
        <v>24.8</v>
      </c>
      <c r="AY25" s="168">
        <f t="shared" si="23"/>
        <v>31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ht="13.8" x14ac:dyDescent="0.25">
      <c r="A26" s="223" t="s">
        <v>294</v>
      </c>
      <c r="B26" s="224" t="s">
        <v>145</v>
      </c>
      <c r="C26" s="224">
        <v>19</v>
      </c>
      <c r="D26" s="224" t="s">
        <v>295</v>
      </c>
      <c r="E26" s="225" t="str">
        <f t="shared" ca="1" si="0"/>
        <v>MR</v>
      </c>
      <c r="F26" s="347"/>
      <c r="G26" s="348">
        <f t="shared" ca="1" si="1"/>
        <v>45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9"/>
        <v/>
      </c>
      <c r="AJ26" s="169">
        <f t="shared" ca="1" si="4"/>
        <v>45</v>
      </c>
      <c r="AK26" s="169" t="str">
        <f t="shared" ca="1" si="20"/>
        <v>BBB</v>
      </c>
      <c r="AL26" s="169">
        <f t="shared" ca="1" si="20"/>
        <v>18</v>
      </c>
      <c r="AM26" s="169" t="str">
        <f t="shared" ca="1" si="5"/>
        <v>Change</v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24</v>
      </c>
      <c r="AW26" s="168">
        <f>COUNTIF( AV$7:AV26, AV26 )</f>
        <v>9</v>
      </c>
      <c r="AX26" s="208">
        <f t="shared" si="22"/>
        <v>24.9</v>
      </c>
      <c r="AY26" s="168">
        <f t="shared" si="23"/>
        <v>32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Public Service Enterprise Group Incorporated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PEG</v>
      </c>
    </row>
    <row r="27" spans="1:61" ht="13.8" x14ac:dyDescent="0.25">
      <c r="A27" s="223" t="s">
        <v>357</v>
      </c>
      <c r="B27" s="224" t="s">
        <v>145</v>
      </c>
      <c r="C27" s="224">
        <v>19</v>
      </c>
      <c r="D27" s="224" t="s">
        <v>358</v>
      </c>
      <c r="E27" s="225" t="str">
        <f t="shared" ca="1" si="0"/>
        <v>MR</v>
      </c>
      <c r="F27" s="347"/>
      <c r="G27" s="348">
        <f t="shared" ca="1" si="1"/>
        <v>46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44</v>
      </c>
      <c r="AW27" s="168">
        <f>COUNTIF( AV$7:AV27, AV27 )</f>
        <v>3</v>
      </c>
      <c r="AX27" s="208">
        <f t="shared" si="22"/>
        <v>44.3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45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ht="13.8" x14ac:dyDescent="0.25">
      <c r="A28" s="223" t="s">
        <v>296</v>
      </c>
      <c r="B28" s="224" t="s">
        <v>145</v>
      </c>
      <c r="C28" s="224">
        <v>19</v>
      </c>
      <c r="D28" s="224" t="s">
        <v>297</v>
      </c>
      <c r="E28" s="225" t="str">
        <f t="shared" ca="1" si="0"/>
        <v>MR</v>
      </c>
      <c r="F28" s="347"/>
      <c r="G28" s="348">
        <f t="shared" ca="1" si="1"/>
        <v>47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362</v>
      </c>
      <c r="AR28" s="207" t="s">
        <v>146</v>
      </c>
      <c r="AS28" s="207">
        <v>18</v>
      </c>
      <c r="AT28" s="207" t="s">
        <v>363</v>
      </c>
      <c r="AV28" s="168">
        <f t="shared" si="21"/>
        <v>24</v>
      </c>
      <c r="AW28" s="168">
        <f>COUNTIF( AV$7:AV28, AV28 )</f>
        <v>10</v>
      </c>
      <c r="AX28" s="208">
        <f t="shared" si="22"/>
        <v>25</v>
      </c>
      <c r="AY28" s="168">
        <f t="shared" si="23"/>
        <v>33</v>
      </c>
      <c r="AZ28" s="169"/>
      <c r="BA28" s="169"/>
      <c r="BC28" s="168">
        <f t="shared" ca="1" si="24"/>
        <v>22</v>
      </c>
      <c r="BD28" s="209">
        <f t="shared" ca="1" si="7"/>
        <v>46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ht="13.8" x14ac:dyDescent="0.25">
      <c r="A29" s="223" t="s">
        <v>379</v>
      </c>
      <c r="B29" s="224" t="s">
        <v>145</v>
      </c>
      <c r="C29" s="224">
        <v>19</v>
      </c>
      <c r="D29" s="224" t="s">
        <v>385</v>
      </c>
      <c r="E29" s="225" t="str">
        <f t="shared" ca="1" si="0"/>
        <v>R</v>
      </c>
      <c r="F29" s="347"/>
      <c r="G29" s="348">
        <f t="shared" ca="1" si="1"/>
        <v>49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44</v>
      </c>
      <c r="AW29" s="168">
        <f>COUNTIF( AV$7:AV29, AV29 )</f>
        <v>4</v>
      </c>
      <c r="AX29" s="208">
        <f t="shared" si="22"/>
        <v>44.4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ht="13.8" x14ac:dyDescent="0.25">
      <c r="A30" s="223" t="s">
        <v>230</v>
      </c>
      <c r="B30" s="224" t="s">
        <v>146</v>
      </c>
      <c r="C30" s="224">
        <v>18</v>
      </c>
      <c r="D30" s="224" t="s">
        <v>231</v>
      </c>
      <c r="E30" s="225" t="str">
        <f t="shared" ca="1" si="0"/>
        <v>R</v>
      </c>
      <c r="F30" s="347"/>
      <c r="G30" s="348">
        <f t="shared" ca="1" si="1"/>
        <v>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397</v>
      </c>
      <c r="AR30" s="207" t="s">
        <v>146</v>
      </c>
      <c r="AS30" s="207">
        <v>18</v>
      </c>
      <c r="AT30" s="207" t="s">
        <v>398</v>
      </c>
      <c r="AV30" s="168">
        <f t="shared" si="21"/>
        <v>24</v>
      </c>
      <c r="AW30" s="168">
        <f>COUNTIF( AV$7:AV30, AV30 )</f>
        <v>11</v>
      </c>
      <c r="AX30" s="208">
        <f t="shared" si="22"/>
        <v>25.1</v>
      </c>
      <c r="AY30" s="168">
        <f t="shared" si="23"/>
        <v>34</v>
      </c>
      <c r="AZ30" s="169"/>
      <c r="BA30" s="169"/>
      <c r="BC30" s="168">
        <f t="shared" ca="1" si="24"/>
        <v>24</v>
      </c>
      <c r="BD30" s="209">
        <f t="shared" ca="1" si="7"/>
        <v>3</v>
      </c>
      <c r="BF30" s="173" t="str">
        <f t="shared" ca="1" si="8"/>
        <v>Ameren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AEE</v>
      </c>
    </row>
    <row r="31" spans="1:61" ht="13.8" x14ac:dyDescent="0.25">
      <c r="A31" s="223" t="s">
        <v>227</v>
      </c>
      <c r="B31" s="224" t="s">
        <v>146</v>
      </c>
      <c r="C31" s="224">
        <v>18</v>
      </c>
      <c r="D31" s="224" t="s">
        <v>228</v>
      </c>
      <c r="E31" s="225" t="str">
        <f t="shared" ca="1" si="0"/>
        <v>R</v>
      </c>
      <c r="F31" s="347"/>
      <c r="G31" s="348">
        <f t="shared" ca="1" si="1"/>
        <v>10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24</v>
      </c>
      <c r="AW31" s="168">
        <f>COUNTIF( AV$7:AV31, AV31 )</f>
        <v>12</v>
      </c>
      <c r="AX31" s="208">
        <f t="shared" si="22"/>
        <v>25.2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ht="13.8" x14ac:dyDescent="0.25">
      <c r="A32" s="223" t="s">
        <v>243</v>
      </c>
      <c r="B32" s="224" t="s">
        <v>146</v>
      </c>
      <c r="C32" s="224">
        <v>18</v>
      </c>
      <c r="D32" s="224" t="s">
        <v>244</v>
      </c>
      <c r="E32" s="225" t="str">
        <f t="shared" ca="1" si="0"/>
        <v>R</v>
      </c>
      <c r="F32" s="347"/>
      <c r="G32" s="348">
        <f t="shared" ca="1" si="1"/>
        <v>11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ht="13.8" x14ac:dyDescent="0.25">
      <c r="A33" s="223" t="s">
        <v>259</v>
      </c>
      <c r="B33" s="224" t="s">
        <v>146</v>
      </c>
      <c r="C33" s="224">
        <v>18</v>
      </c>
      <c r="D33" s="224" t="s">
        <v>388</v>
      </c>
      <c r="E33" s="225" t="str">
        <f t="shared" ca="1" si="0"/>
        <v>R</v>
      </c>
      <c r="F33" s="347"/>
      <c r="G33" s="348">
        <f t="shared" ca="1" si="1"/>
        <v>14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32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44</v>
      </c>
      <c r="AW33" s="168">
        <f>COUNTIF( AV$7:AV33, AV33 )</f>
        <v>5</v>
      </c>
      <c r="AX33" s="208">
        <f t="shared" si="22"/>
        <v>44.5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ht="13.8" x14ac:dyDescent="0.25">
      <c r="A34" s="223" t="s">
        <v>261</v>
      </c>
      <c r="B34" s="224" t="s">
        <v>146</v>
      </c>
      <c r="C34" s="224">
        <v>18</v>
      </c>
      <c r="D34" s="224" t="s">
        <v>262</v>
      </c>
      <c r="E34" s="225" t="str">
        <f t="shared" ca="1" si="0"/>
        <v>R</v>
      </c>
      <c r="F34" s="347"/>
      <c r="G34" s="348">
        <f t="shared" ca="1" si="1"/>
        <v>15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13</v>
      </c>
      <c r="AW34" s="168">
        <f>COUNTIF( AV$7:AV34, AV34 )</f>
        <v>4</v>
      </c>
      <c r="AX34" s="208">
        <f t="shared" si="22"/>
        <v>13.4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9</v>
      </c>
      <c r="BF34" s="173" t="str">
        <f t="shared" ca="1" si="8"/>
        <v>CMS Energy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CMS</v>
      </c>
    </row>
    <row r="35" spans="1:61" ht="13.8" x14ac:dyDescent="0.25">
      <c r="A35" s="223" t="s">
        <v>338</v>
      </c>
      <c r="B35" s="224" t="s">
        <v>146</v>
      </c>
      <c r="C35" s="224">
        <v>18</v>
      </c>
      <c r="D35" s="224" t="s">
        <v>341</v>
      </c>
      <c r="E35" s="225" t="str">
        <f t="shared" ca="1" si="0"/>
        <v>R</v>
      </c>
      <c r="F35" s="347"/>
      <c r="G35" s="348">
        <f t="shared" ca="1" si="1"/>
        <v>21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418</v>
      </c>
      <c r="AR35" s="207" t="s">
        <v>145</v>
      </c>
      <c r="AS35" s="207">
        <v>19</v>
      </c>
      <c r="AT35" s="207" t="s">
        <v>221</v>
      </c>
      <c r="AV35" s="168">
        <f t="shared" si="21"/>
        <v>13</v>
      </c>
      <c r="AW35" s="168">
        <f>COUNTIF( AV$7:AV35, AV35 )</f>
        <v>5</v>
      </c>
      <c r="AX35" s="208">
        <f t="shared" si="22"/>
        <v>13.5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16</v>
      </c>
      <c r="BF35" s="173" t="str">
        <f t="shared" ca="1" si="8"/>
        <v>El Paso Electric Company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EE</v>
      </c>
    </row>
    <row r="36" spans="1:61" ht="13.8" x14ac:dyDescent="0.25">
      <c r="A36" s="223" t="s">
        <v>377</v>
      </c>
      <c r="B36" s="224" t="s">
        <v>146</v>
      </c>
      <c r="C36" s="224">
        <v>18</v>
      </c>
      <c r="D36" s="224" t="s">
        <v>378</v>
      </c>
      <c r="E36" s="225" t="str">
        <f t="shared" ca="1" si="0"/>
        <v>R</v>
      </c>
      <c r="F36" s="347"/>
      <c r="G36" s="348">
        <f t="shared" ca="1" si="1"/>
        <v>22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7"/>
        <v>17</v>
      </c>
      <c r="BF36" s="173" t="str">
        <f t="shared" ca="1" si="8"/>
        <v>Empire District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EDE</v>
      </c>
    </row>
    <row r="37" spans="1:61" ht="13.8" x14ac:dyDescent="0.25">
      <c r="A37" s="223" t="s">
        <v>272</v>
      </c>
      <c r="B37" s="224" t="s">
        <v>146</v>
      </c>
      <c r="C37" s="224">
        <v>18</v>
      </c>
      <c r="D37" s="224" t="s">
        <v>273</v>
      </c>
      <c r="E37" s="225" t="str">
        <f t="shared" ca="1" si="0"/>
        <v>R</v>
      </c>
      <c r="F37" s="347"/>
      <c r="G37" s="348">
        <f t="shared" ca="1" si="1"/>
        <v>23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44</v>
      </c>
      <c r="AW37" s="168">
        <f>COUNTIF( AV$7:AV37, AV37 )</f>
        <v>6</v>
      </c>
      <c r="AX37" s="208">
        <f t="shared" si="22"/>
        <v>44.6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19</v>
      </c>
      <c r="BF37" s="173" t="str">
        <f t="shared" ca="1" si="8"/>
        <v>Entergy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ETR</v>
      </c>
    </row>
    <row r="38" spans="1:61" ht="13.8" x14ac:dyDescent="0.25">
      <c r="A38" s="223" t="s">
        <v>274</v>
      </c>
      <c r="B38" s="224" t="s">
        <v>146</v>
      </c>
      <c r="C38" s="224">
        <v>18</v>
      </c>
      <c r="D38" s="224" t="s">
        <v>275</v>
      </c>
      <c r="E38" s="225" t="str">
        <f t="shared" ca="1" si="0"/>
        <v>MR</v>
      </c>
      <c r="F38" s="347"/>
      <c r="G38" s="348">
        <f t="shared" ca="1" si="1"/>
        <v>24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404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7"/>
        <v>20</v>
      </c>
      <c r="BF38" s="173" t="str">
        <f t="shared" ca="1" si="8"/>
        <v>Exelon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EXC</v>
      </c>
    </row>
    <row r="39" spans="1:61" ht="13.8" x14ac:dyDescent="0.25">
      <c r="A39" s="223" t="s">
        <v>362</v>
      </c>
      <c r="B39" s="224" t="s">
        <v>146</v>
      </c>
      <c r="C39" s="224">
        <v>18</v>
      </c>
      <c r="D39" s="224" t="s">
        <v>363</v>
      </c>
      <c r="E39" s="225" t="str">
        <f t="shared" ca="1" si="0"/>
        <v>R</v>
      </c>
      <c r="F39" s="347"/>
      <c r="G39" s="348">
        <f t="shared" ca="1" si="1"/>
        <v>26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24</v>
      </c>
      <c r="AW39" s="168">
        <f>COUNTIF( AV$7:AV39, AV39 )</f>
        <v>13</v>
      </c>
      <c r="AX39" s="208">
        <f t="shared" si="22"/>
        <v>25.3</v>
      </c>
      <c r="AY39" s="168">
        <f t="shared" si="23"/>
        <v>36</v>
      </c>
      <c r="AZ39" s="169"/>
      <c r="BA39" s="169"/>
      <c r="BC39" s="168">
        <f t="shared" ca="1" si="24"/>
        <v>33</v>
      </c>
      <c r="BD39" s="209">
        <f t="shared" ca="1" si="7"/>
        <v>22</v>
      </c>
      <c r="BF39" s="173" t="str">
        <f t="shared" ref="BF39:BF63" ca="1" si="25">OFFSET( AQ$6, $BD39, 0 )</f>
        <v>Great Plains Energy Inc.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GXP</v>
      </c>
    </row>
    <row r="40" spans="1:61" ht="13.8" x14ac:dyDescent="0.25">
      <c r="A40" s="223" t="s">
        <v>397</v>
      </c>
      <c r="B40" s="224" t="s">
        <v>146</v>
      </c>
      <c r="C40" s="224">
        <v>18</v>
      </c>
      <c r="D40" s="224" t="s">
        <v>398</v>
      </c>
      <c r="E40" s="225" t="str">
        <f t="shared" ca="1" si="0"/>
        <v>R</v>
      </c>
      <c r="F40" s="347"/>
      <c r="G40" s="348">
        <f t="shared" ca="1" si="1"/>
        <v>58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421</v>
      </c>
      <c r="AR40" s="207" t="s">
        <v>147</v>
      </c>
      <c r="AS40" s="207">
        <v>17</v>
      </c>
      <c r="AT40" s="207" t="s">
        <v>422</v>
      </c>
      <c r="AV40" s="168">
        <f t="shared" si="21"/>
        <v>44</v>
      </c>
      <c r="AW40" s="168">
        <f>COUNTIF( AV$7:AV40, AV40 )</f>
        <v>7</v>
      </c>
      <c r="AX40" s="208">
        <f t="shared" si="22"/>
        <v>44.7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24</v>
      </c>
      <c r="BF40" s="173" t="str">
        <f t="shared" ca="1" si="25"/>
        <v>Iberdrola USA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**EAST</v>
      </c>
    </row>
    <row r="41" spans="1:61" ht="13.8" x14ac:dyDescent="0.25">
      <c r="A41" s="223" t="s">
        <v>288</v>
      </c>
      <c r="B41" s="224" t="s">
        <v>146</v>
      </c>
      <c r="C41" s="224">
        <v>18</v>
      </c>
      <c r="D41" s="224" t="s">
        <v>289</v>
      </c>
      <c r="E41" s="225" t="str">
        <f t="shared" ca="1" si="0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282</v>
      </c>
      <c r="AR41" s="207" t="s">
        <v>144</v>
      </c>
      <c r="AS41" s="207">
        <v>20</v>
      </c>
      <c r="AT41" s="207" t="s">
        <v>283</v>
      </c>
      <c r="AV41" s="168">
        <f t="shared" si="21"/>
        <v>2</v>
      </c>
      <c r="AW41" s="168">
        <f>COUNTIF( AV$7:AV41, AV41 )</f>
        <v>8</v>
      </c>
      <c r="AX41" s="208">
        <f t="shared" si="22"/>
        <v>2.8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7"/>
        <v>25</v>
      </c>
      <c r="BF41" s="173" t="str">
        <f t="shared" ca="1" si="25"/>
        <v>IDACORP, Inc.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IDA</v>
      </c>
    </row>
    <row r="42" spans="1:61" ht="13.8" x14ac:dyDescent="0.25">
      <c r="A42" s="223" t="s">
        <v>302</v>
      </c>
      <c r="B42" s="224" t="s">
        <v>146</v>
      </c>
      <c r="C42" s="224">
        <v>18</v>
      </c>
      <c r="D42" s="224" t="s">
        <v>303</v>
      </c>
      <c r="E42" s="225" t="str">
        <f t="shared" ca="1" si="0"/>
        <v>R</v>
      </c>
      <c r="F42" s="347"/>
      <c r="G42" s="348">
        <f t="shared" ca="1" si="1"/>
        <v>35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304</v>
      </c>
      <c r="AR42" s="207" t="s">
        <v>146</v>
      </c>
      <c r="AS42" s="207">
        <v>18</v>
      </c>
      <c r="AT42" s="207" t="s">
        <v>305</v>
      </c>
      <c r="AV42" s="168">
        <f t="shared" si="21"/>
        <v>24</v>
      </c>
      <c r="AW42" s="168">
        <f>COUNTIF( AV$7:AV42, AV42 )</f>
        <v>14</v>
      </c>
      <c r="AX42" s="208">
        <f t="shared" si="22"/>
        <v>25.4</v>
      </c>
      <c r="AY42" s="168">
        <f t="shared" si="23"/>
        <v>37</v>
      </c>
      <c r="AZ42" s="169"/>
      <c r="BA42" s="169"/>
      <c r="BC42" s="168">
        <f t="shared" ca="1" si="24"/>
        <v>36</v>
      </c>
      <c r="BD42" s="209">
        <f t="shared" ca="1" si="7"/>
        <v>33</v>
      </c>
      <c r="BF42" s="173" t="str">
        <f t="shared" ca="1" si="25"/>
        <v>NorthWestern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NWE</v>
      </c>
    </row>
    <row r="43" spans="1:61" ht="13.8" x14ac:dyDescent="0.25">
      <c r="A43" s="223" t="s">
        <v>304</v>
      </c>
      <c r="B43" s="224" t="s">
        <v>146</v>
      </c>
      <c r="C43" s="224">
        <v>18</v>
      </c>
      <c r="D43" s="224" t="s">
        <v>305</v>
      </c>
      <c r="E43" s="225" t="str">
        <f t="shared" ca="1" si="0"/>
        <v>MR</v>
      </c>
      <c r="F43" s="347"/>
      <c r="G43" s="348">
        <f t="shared" ca="1" si="1"/>
        <v>38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>
        <f t="shared" ca="1" si="3"/>
        <v>1</v>
      </c>
      <c r="AH43" s="169" t="str">
        <f t="shared" ca="1" si="19"/>
        <v/>
      </c>
      <c r="AJ43" s="169">
        <f t="shared" ca="1" si="4"/>
        <v>55</v>
      </c>
      <c r="AK43" s="169" t="str">
        <f t="shared" ca="1" si="20"/>
        <v>BBB-</v>
      </c>
      <c r="AL43" s="169">
        <f t="shared" ca="1" si="20"/>
        <v>17</v>
      </c>
      <c r="AM43" s="169" t="str">
        <f t="shared" ca="1" si="5"/>
        <v>Change</v>
      </c>
      <c r="AQ43" s="207" t="s">
        <v>392</v>
      </c>
      <c r="AR43" s="207" t="s">
        <v>145</v>
      </c>
      <c r="AS43" s="207">
        <v>19</v>
      </c>
      <c r="AT43" s="207" t="s">
        <v>393</v>
      </c>
      <c r="AV43" s="168">
        <f t="shared" si="21"/>
        <v>13</v>
      </c>
      <c r="AW43" s="168">
        <f>COUNTIF( AV$7:AV43, AV43 )</f>
        <v>6</v>
      </c>
      <c r="AX43" s="208">
        <f t="shared" si="22"/>
        <v>13.6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36</v>
      </c>
      <c r="BF43" s="173" t="str">
        <f t="shared" ca="1" si="25"/>
        <v>Otter Tail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OTTR</v>
      </c>
    </row>
    <row r="44" spans="1:61" ht="13.8" x14ac:dyDescent="0.25">
      <c r="A44" s="223" t="s">
        <v>306</v>
      </c>
      <c r="B44" s="224" t="s">
        <v>146</v>
      </c>
      <c r="C44" s="224">
        <v>18</v>
      </c>
      <c r="D44" s="224" t="s">
        <v>307</v>
      </c>
      <c r="E44" s="225" t="str">
        <f t="shared" ca="1" si="0"/>
        <v>R</v>
      </c>
      <c r="F44" s="347"/>
      <c r="G44" s="348">
        <f t="shared" ca="1" si="1"/>
        <v>40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1"/>
        <v>24</v>
      </c>
      <c r="AW44" s="168">
        <f>COUNTIF( AV$7:AV44, AV44 )</f>
        <v>15</v>
      </c>
      <c r="AX44" s="208">
        <f t="shared" si="22"/>
        <v>25.5</v>
      </c>
      <c r="AY44" s="168">
        <f t="shared" si="23"/>
        <v>38</v>
      </c>
      <c r="AZ44" s="169"/>
      <c r="BA44" s="169"/>
      <c r="BC44" s="168">
        <f t="shared" ca="1" si="24"/>
        <v>38</v>
      </c>
      <c r="BD44" s="209">
        <f t="shared" ca="1" si="7"/>
        <v>38</v>
      </c>
      <c r="BF44" s="173" t="str">
        <f t="shared" ca="1" si="25"/>
        <v>PG&amp;E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PCG</v>
      </c>
    </row>
    <row r="45" spans="1:61" ht="13.8" x14ac:dyDescent="0.25">
      <c r="A45" s="223" t="s">
        <v>308</v>
      </c>
      <c r="B45" s="224" t="s">
        <v>146</v>
      </c>
      <c r="C45" s="224">
        <v>18</v>
      </c>
      <c r="D45" s="224" t="s">
        <v>309</v>
      </c>
      <c r="E45" s="225" t="str">
        <f t="shared" ca="1" si="0"/>
        <v>R</v>
      </c>
      <c r="F45" s="347"/>
      <c r="G45" s="348">
        <f t="shared" ca="1" si="1"/>
        <v>42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>
        <f t="shared" ca="1" si="3"/>
        <v>1</v>
      </c>
      <c r="AH45" s="169" t="str">
        <f t="shared" ca="1" si="19"/>
        <v/>
      </c>
      <c r="AJ45" s="169">
        <f t="shared" ca="1" si="4"/>
        <v>56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>Change</v>
      </c>
      <c r="AQ45" s="207" t="s">
        <v>286</v>
      </c>
      <c r="AR45" s="207" t="s">
        <v>145</v>
      </c>
      <c r="AS45" s="207">
        <v>19</v>
      </c>
      <c r="AT45" s="207" t="s">
        <v>287</v>
      </c>
      <c r="AV45" s="168">
        <f t="shared" si="21"/>
        <v>13</v>
      </c>
      <c r="AW45" s="168">
        <f>COUNTIF( AV$7:AV45, AV45 )</f>
        <v>7</v>
      </c>
      <c r="AX45" s="208">
        <f t="shared" si="22"/>
        <v>13.7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40</v>
      </c>
      <c r="BF45" s="173" t="str">
        <f t="shared" ca="1" si="25"/>
        <v>PNM Resources,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PNM</v>
      </c>
    </row>
    <row r="46" spans="1:61" ht="13.8" x14ac:dyDescent="0.25">
      <c r="A46" s="223" t="s">
        <v>290</v>
      </c>
      <c r="B46" s="224" t="s">
        <v>146</v>
      </c>
      <c r="C46" s="224">
        <v>18</v>
      </c>
      <c r="D46" s="224" t="s">
        <v>291</v>
      </c>
      <c r="E46" s="225" t="str">
        <f t="shared" ca="1" si="0"/>
        <v>R</v>
      </c>
      <c r="F46" s="347"/>
      <c r="G46" s="348">
        <f t="shared" ca="1" si="1"/>
        <v>43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308</v>
      </c>
      <c r="AR46" s="207" t="s">
        <v>146</v>
      </c>
      <c r="AS46" s="207">
        <v>18</v>
      </c>
      <c r="AT46" s="207" t="s">
        <v>309</v>
      </c>
      <c r="AV46" s="168">
        <f t="shared" si="21"/>
        <v>24</v>
      </c>
      <c r="AW46" s="168">
        <f>COUNTIF( AV$7:AV46, AV46 )</f>
        <v>16</v>
      </c>
      <c r="AX46" s="208">
        <f t="shared" si="22"/>
        <v>25.6</v>
      </c>
      <c r="AY46" s="168">
        <f t="shared" si="23"/>
        <v>39</v>
      </c>
      <c r="AZ46" s="169"/>
      <c r="BA46" s="169"/>
      <c r="BC46" s="168">
        <f t="shared" ca="1" si="24"/>
        <v>40</v>
      </c>
      <c r="BD46" s="209">
        <f t="shared" ca="1" si="7"/>
        <v>41</v>
      </c>
      <c r="BF46" s="173" t="str">
        <f t="shared" ca="1" si="25"/>
        <v>Portland General Electric Company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POR</v>
      </c>
    </row>
    <row r="47" spans="1:61" ht="13.8" x14ac:dyDescent="0.25">
      <c r="A47" s="223" t="s">
        <v>248</v>
      </c>
      <c r="B47" s="224" t="s">
        <v>146</v>
      </c>
      <c r="C47" s="224">
        <v>18</v>
      </c>
      <c r="D47" s="224" t="s">
        <v>249</v>
      </c>
      <c r="E47" s="225" t="str">
        <f t="shared" ca="1" si="0"/>
        <v>MR</v>
      </c>
      <c r="F47" s="347"/>
      <c r="G47" s="348">
        <f t="shared" ca="1" si="1"/>
        <v>44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1"/>
        <v>24</v>
      </c>
      <c r="AW47" s="168">
        <f>COUNTIF( AV$7:AV47, AV47 )</f>
        <v>17</v>
      </c>
      <c r="AX47" s="208">
        <f t="shared" si="22"/>
        <v>25.7</v>
      </c>
      <c r="AY47" s="168">
        <f t="shared" si="23"/>
        <v>40</v>
      </c>
      <c r="AZ47" s="169"/>
      <c r="BA47" s="169"/>
      <c r="BC47" s="168">
        <f t="shared" ca="1" si="24"/>
        <v>41</v>
      </c>
      <c r="BD47" s="209">
        <f t="shared" ca="1" si="7"/>
        <v>42</v>
      </c>
      <c r="BF47" s="173" t="str">
        <f t="shared" ca="1" si="25"/>
        <v>PPL Corporation</v>
      </c>
      <c r="BG47" s="173" t="str">
        <f t="shared" ca="1" si="9"/>
        <v>BBB</v>
      </c>
      <c r="BH47" s="173">
        <f t="shared" ca="1" si="9"/>
        <v>18</v>
      </c>
      <c r="BI47" s="173" t="str">
        <f t="shared" ca="1" si="9"/>
        <v>PPL</v>
      </c>
    </row>
    <row r="48" spans="1:61" ht="13.8" x14ac:dyDescent="0.25">
      <c r="A48" s="223" t="s">
        <v>399</v>
      </c>
      <c r="B48" s="224" t="s">
        <v>146</v>
      </c>
      <c r="C48" s="224">
        <v>18</v>
      </c>
      <c r="D48" s="224" t="s">
        <v>400</v>
      </c>
      <c r="E48" s="225" t="str">
        <f t="shared" ca="1" si="0"/>
        <v>R</v>
      </c>
      <c r="F48" s="347"/>
      <c r="G48" s="348">
        <f t="shared" ca="1" si="1"/>
        <v>50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5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1"/>
        <v>24</v>
      </c>
      <c r="AW48" s="168">
        <f>COUNTIF( AV$7:AV48, AV48 )</f>
        <v>18</v>
      </c>
      <c r="AX48" s="208">
        <f t="shared" si="22"/>
        <v>25.8</v>
      </c>
      <c r="AY48" s="168">
        <f t="shared" si="23"/>
        <v>41</v>
      </c>
      <c r="AZ48" s="169"/>
      <c r="BA48" s="169"/>
      <c r="BC48" s="168">
        <f t="shared" ca="1" si="24"/>
        <v>42</v>
      </c>
      <c r="BD48" s="209">
        <f t="shared" ca="1" si="7"/>
        <v>49</v>
      </c>
      <c r="BF48" s="173" t="str">
        <f t="shared" ca="1" si="25"/>
        <v>UIL Holdings Corporation</v>
      </c>
      <c r="BG48" s="173" t="str">
        <f t="shared" ca="1" si="9"/>
        <v>BBB</v>
      </c>
      <c r="BH48" s="173">
        <f t="shared" ca="1" si="9"/>
        <v>18</v>
      </c>
      <c r="BI48" s="173" t="str">
        <f t="shared" ca="1" si="9"/>
        <v>UIL</v>
      </c>
    </row>
    <row r="49" spans="1:61" ht="13.8" x14ac:dyDescent="0.25">
      <c r="A49" s="223" t="s">
        <v>364</v>
      </c>
      <c r="B49" s="224" t="s">
        <v>146</v>
      </c>
      <c r="C49" s="224">
        <v>18</v>
      </c>
      <c r="D49" s="224" t="s">
        <v>365</v>
      </c>
      <c r="E49" s="225" t="str">
        <f t="shared" ca="1" si="0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5"/>
        <v/>
      </c>
      <c r="AQ49" s="207" t="s">
        <v>294</v>
      </c>
      <c r="AR49" s="207" t="s">
        <v>145</v>
      </c>
      <c r="AS49" s="207">
        <v>19</v>
      </c>
      <c r="AT49" s="207" t="s">
        <v>295</v>
      </c>
      <c r="AV49" s="168">
        <f t="shared" si="21"/>
        <v>13</v>
      </c>
      <c r="AW49" s="168">
        <f>COUNTIF( AV$7:AV49, AV49 )</f>
        <v>8</v>
      </c>
      <c r="AX49" s="208">
        <f t="shared" si="22"/>
        <v>13.8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51</v>
      </c>
      <c r="BF49" s="173" t="str">
        <f t="shared" ca="1" si="25"/>
        <v>Westar Energy, Inc.</v>
      </c>
      <c r="BG49" s="173" t="str">
        <f t="shared" ca="1" si="9"/>
        <v>BBB</v>
      </c>
      <c r="BH49" s="173">
        <f t="shared" ca="1" si="9"/>
        <v>18</v>
      </c>
      <c r="BI49" s="173" t="str">
        <f t="shared" ca="1" si="9"/>
        <v>WR</v>
      </c>
    </row>
    <row r="50" spans="1:61" ht="13.8" x14ac:dyDescent="0.25">
      <c r="A50" s="223" t="s">
        <v>250</v>
      </c>
      <c r="B50" s="224" t="s">
        <v>147</v>
      </c>
      <c r="C50" s="224">
        <v>17</v>
      </c>
      <c r="D50" s="224" t="s">
        <v>251</v>
      </c>
      <c r="E50" s="225" t="str">
        <f t="shared" ca="1" si="0"/>
        <v>R</v>
      </c>
      <c r="F50" s="347"/>
      <c r="G50" s="348">
        <f t="shared" ca="1" si="1"/>
        <v>12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48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310</v>
      </c>
      <c r="AR50" s="207" t="s">
        <v>178</v>
      </c>
      <c r="AS50" s="207">
        <v>16</v>
      </c>
      <c r="AT50" s="207" t="s">
        <v>311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6</v>
      </c>
      <c r="BF50" s="173" t="str">
        <f t="shared" ca="1" si="25"/>
        <v>Black Hills Corporation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BKH</v>
      </c>
    </row>
    <row r="51" spans="1:61" ht="13.8" x14ac:dyDescent="0.2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0"/>
        <v>R</v>
      </c>
      <c r="F51" s="347"/>
      <c r="G51" s="348">
        <f t="shared" ca="1" si="1"/>
        <v>20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49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357</v>
      </c>
      <c r="AR51" s="207" t="s">
        <v>145</v>
      </c>
      <c r="AS51" s="207">
        <v>19</v>
      </c>
      <c r="AT51" s="207" t="s">
        <v>358</v>
      </c>
      <c r="AV51" s="168">
        <f t="shared" si="21"/>
        <v>13</v>
      </c>
      <c r="AW51" s="168">
        <f>COUNTIF( AV$7:AV51, AV51 )</f>
        <v>9</v>
      </c>
      <c r="AX51" s="208">
        <f t="shared" si="22"/>
        <v>13.9</v>
      </c>
      <c r="AY51" s="168">
        <f t="shared" si="23"/>
        <v>21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ht="13.8" x14ac:dyDescent="0.2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0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50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296</v>
      </c>
      <c r="AR52" s="207" t="s">
        <v>145</v>
      </c>
      <c r="AS52" s="207">
        <v>19</v>
      </c>
      <c r="AT52" s="207" t="s">
        <v>297</v>
      </c>
      <c r="AV52" s="168">
        <f t="shared" si="21"/>
        <v>13</v>
      </c>
      <c r="AW52" s="168">
        <f>COUNTIF( AV$7:AV52, AV52 )</f>
        <v>10</v>
      </c>
      <c r="AX52" s="208">
        <f t="shared" si="22"/>
        <v>14</v>
      </c>
      <c r="AY52" s="168">
        <f t="shared" si="23"/>
        <v>22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ht="13.8" x14ac:dyDescent="0.2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0"/>
        <v>MR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51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298</v>
      </c>
      <c r="AR53" s="207" t="s">
        <v>171</v>
      </c>
      <c r="AS53" s="207">
        <v>21</v>
      </c>
      <c r="AT53" s="207" t="s">
        <v>299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ht="13.8" x14ac:dyDescent="0.25">
      <c r="A54" s="223" t="s">
        <v>292</v>
      </c>
      <c r="B54" s="224" t="s">
        <v>147</v>
      </c>
      <c r="C54" s="224">
        <v>17</v>
      </c>
      <c r="D54" s="224" t="s">
        <v>293</v>
      </c>
      <c r="E54" s="225" t="str">
        <f t="shared" ca="1" si="0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52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379</v>
      </c>
      <c r="AR54" s="207" t="s">
        <v>145</v>
      </c>
      <c r="AS54" s="207">
        <v>19</v>
      </c>
      <c r="AT54" s="207" t="s">
        <v>385</v>
      </c>
      <c r="AV54" s="168">
        <f t="shared" si="21"/>
        <v>13</v>
      </c>
      <c r="AW54" s="168">
        <f>COUNTIF( AV$7:AV54, AV54 )</f>
        <v>11</v>
      </c>
      <c r="AX54" s="208">
        <f t="shared" si="22"/>
        <v>14.1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ht="13.8" x14ac:dyDescent="0.2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0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53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399</v>
      </c>
      <c r="AR55" s="207" t="s">
        <v>146</v>
      </c>
      <c r="AS55" s="207">
        <v>18</v>
      </c>
      <c r="AT55" s="207" t="s">
        <v>400</v>
      </c>
      <c r="AV55" s="168">
        <f t="shared" si="21"/>
        <v>24</v>
      </c>
      <c r="AW55" s="168">
        <f>COUNTIF( AV$7:AV55, AV55 )</f>
        <v>19</v>
      </c>
      <c r="AX55" s="208">
        <f t="shared" si="22"/>
        <v>25.9</v>
      </c>
      <c r="AY55" s="168">
        <f t="shared" si="23"/>
        <v>42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ht="13.8" x14ac:dyDescent="0.25">
      <c r="A56" s="223" t="s">
        <v>421</v>
      </c>
      <c r="B56" s="224" t="s">
        <v>147</v>
      </c>
      <c r="C56" s="224">
        <v>17</v>
      </c>
      <c r="D56" s="224" t="s">
        <v>422</v>
      </c>
      <c r="E56" s="225" t="str">
        <f t="shared" ca="1" si="0"/>
        <v>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355</v>
      </c>
      <c r="AR56" s="207" t="s">
        <v>144</v>
      </c>
      <c r="AS56" s="207">
        <v>20</v>
      </c>
      <c r="AT56" s="207" t="s">
        <v>356</v>
      </c>
      <c r="AV56" s="168">
        <f t="shared" si="21"/>
        <v>2</v>
      </c>
      <c r="AW56" s="168">
        <f>COUNTIF( AV$7:AV56, AV56 )</f>
        <v>9</v>
      </c>
      <c r="AX56" s="208">
        <f t="shared" si="22"/>
        <v>2.9</v>
      </c>
      <c r="AY56" s="168">
        <f t="shared" si="23"/>
        <v>10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25"/>
        <v>NV Energy,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NVE</v>
      </c>
    </row>
    <row r="57" spans="1:61" ht="13.8" x14ac:dyDescent="0.25">
      <c r="A57" s="223" t="s">
        <v>310</v>
      </c>
      <c r="B57" s="224" t="s">
        <v>178</v>
      </c>
      <c r="C57" s="224">
        <v>16</v>
      </c>
      <c r="D57" s="224" t="s">
        <v>311</v>
      </c>
      <c r="E57" s="225" t="str">
        <f t="shared" ca="1" si="0"/>
        <v>R</v>
      </c>
      <c r="F57" s="347"/>
      <c r="G57" s="348">
        <f t="shared" ca="1" si="1"/>
        <v>63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364</v>
      </c>
      <c r="AR57" s="207" t="s">
        <v>146</v>
      </c>
      <c r="AS57" s="207">
        <v>18</v>
      </c>
      <c r="AT57" s="207" t="s">
        <v>365</v>
      </c>
      <c r="AV57" s="168">
        <f t="shared" si="21"/>
        <v>24</v>
      </c>
      <c r="AW57" s="168">
        <f>COUNTIF( AV$7:AV57, AV57 )</f>
        <v>20</v>
      </c>
      <c r="AX57" s="208">
        <f t="shared" si="22"/>
        <v>26</v>
      </c>
      <c r="AY57" s="168">
        <f t="shared" si="23"/>
        <v>43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ht="13.8" x14ac:dyDescent="0.2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0"/>
        <v>R</v>
      </c>
      <c r="F58" s="347"/>
      <c r="G58" s="348">
        <f t="shared" ca="1" si="1"/>
        <v>59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252</v>
      </c>
      <c r="AR58" s="207" t="s">
        <v>144</v>
      </c>
      <c r="AS58" s="207">
        <v>20</v>
      </c>
      <c r="AT58" s="207" t="s">
        <v>253</v>
      </c>
      <c r="AV58" s="168">
        <f t="shared" si="21"/>
        <v>2</v>
      </c>
      <c r="AW58" s="168">
        <f>COUNTIF( AV$7:AV58, AV58 )</f>
        <v>10</v>
      </c>
      <c r="AX58" s="208">
        <f t="shared" si="22"/>
        <v>3</v>
      </c>
      <c r="AY58" s="168">
        <f t="shared" si="23"/>
        <v>11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ht="13.8" x14ac:dyDescent="0.25">
      <c r="A59" s="223" t="s">
        <v>381</v>
      </c>
      <c r="B59" s="224" t="s">
        <v>192</v>
      </c>
      <c r="C59" s="224">
        <v>9</v>
      </c>
      <c r="D59" s="224" t="s">
        <v>369</v>
      </c>
      <c r="E59" s="225" t="str">
        <f t="shared" ca="1" si="0"/>
        <v>D</v>
      </c>
      <c r="F59" s="347"/>
      <c r="G59" s="348">
        <f t="shared" ca="1" si="1"/>
        <v>60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256</v>
      </c>
      <c r="AR59" s="207" t="s">
        <v>144</v>
      </c>
      <c r="AS59" s="207">
        <v>20</v>
      </c>
      <c r="AT59" s="207" t="s">
        <v>257</v>
      </c>
      <c r="AV59" s="168">
        <f t="shared" si="21"/>
        <v>2</v>
      </c>
      <c r="AW59" s="168">
        <f>COUNTIF( AV$7:AV59, AV59 )</f>
        <v>11</v>
      </c>
      <c r="AX59" s="208">
        <f t="shared" si="22"/>
        <v>3.1</v>
      </c>
      <c r="AY59" s="168">
        <f t="shared" si="23"/>
        <v>12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ht="13.8" x14ac:dyDescent="0.25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" thickBot="1" x14ac:dyDescent="0.3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394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31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409</v>
      </c>
      <c r="B63" s="224" t="s">
        <v>178</v>
      </c>
      <c r="C63" s="224">
        <v>16</v>
      </c>
      <c r="D63" s="224" t="s">
        <v>410</v>
      </c>
      <c r="E63" s="225" t="str">
        <f ca="1">OFFSET( INDIRECT( E$3 &amp; E$4 ), $G63 - 1, 0 )</f>
        <v>R</v>
      </c>
      <c r="F63" s="347"/>
      <c r="G63" s="348">
        <f t="shared" ca="1" si="1"/>
        <v>52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BB+</v>
      </c>
      <c r="AL63" s="169">
        <f t="shared" ca="1" si="20"/>
        <v>16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8" x14ac:dyDescent="0.25">
      <c r="A64" s="223" t="s">
        <v>411</v>
      </c>
      <c r="B64" s="224"/>
      <c r="C64" s="224"/>
      <c r="D64" s="224" t="s">
        <v>386</v>
      </c>
      <c r="E64" s="225" t="str">
        <f ca="1">OFFSET( INDIRECT( E$3 &amp; E$4 ), $G64 - 1, 0 )</f>
        <v>R</v>
      </c>
      <c r="F64" s="347"/>
      <c r="G64" s="348">
        <f t="shared" ca="1" si="1"/>
        <v>51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>
        <f t="shared" ca="1" si="4"/>
        <v>65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4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394</v>
      </c>
      <c r="AR66" s="207" t="s">
        <v>167</v>
      </c>
      <c r="AS66" s="207">
        <v>23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409</v>
      </c>
      <c r="AR67" s="207" t="s">
        <v>178</v>
      </c>
      <c r="AS67" s="207">
        <v>16</v>
      </c>
      <c r="AT67" s="207" t="s">
        <v>410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18.327272727272728</v>
      </c>
      <c r="D68" s="201"/>
      <c r="E68" s="201"/>
      <c r="F68" s="349"/>
      <c r="H68" s="349"/>
      <c r="I68" s="349"/>
      <c r="J68" s="350"/>
      <c r="K68" s="350"/>
      <c r="AQ68" s="207" t="s">
        <v>411</v>
      </c>
      <c r="AR68" s="207"/>
      <c r="AS68" s="207"/>
      <c r="AT68" s="207" t="s">
        <v>386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413</v>
      </c>
      <c r="D74" s="204"/>
      <c r="F74" s="206"/>
      <c r="H74" s="206"/>
      <c r="I74" s="206"/>
    </row>
    <row r="75" spans="1:58" x14ac:dyDescent="0.25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18.436363636363637</v>
      </c>
      <c r="E78" s="191"/>
      <c r="G78" s="352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-- 2013 Q1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8" hidden="1" outlineLevel="1" x14ac:dyDescent="0.25">
      <c r="A2" s="167"/>
      <c r="E2" s="171" t="str">
        <f>G2</f>
        <v>Reg_Percent_2011</v>
      </c>
      <c r="G2" s="172" t="s">
        <v>424</v>
      </c>
      <c r="AJ2" s="173" t="str">
        <f>AJ4 &amp; AJ3</f>
        <v>'Credit_2012Q4'!a:a</v>
      </c>
      <c r="AK2" s="173" t="str">
        <f>AK4 &amp; AK3</f>
        <v>'Credit_2012Q4'!b1</v>
      </c>
      <c r="AL2" s="173" t="str">
        <f>AL4 &amp; AL3</f>
        <v>'Credit_2012Q4'!c1</v>
      </c>
    </row>
    <row r="3" spans="1:61" ht="18" hidden="1" outlineLevel="1" x14ac:dyDescent="0.2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425</v>
      </c>
      <c r="AK4" s="169" t="str">
        <f>AJ4</f>
        <v>'Credit_2012Q4'!</v>
      </c>
      <c r="AL4" s="169" t="str">
        <f>AK4</f>
        <v>'Credit_2012Q4'!</v>
      </c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(56)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(3)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217</v>
      </c>
      <c r="B6" s="220" t="s">
        <v>52</v>
      </c>
      <c r="C6" s="249" t="s">
        <v>219</v>
      </c>
      <c r="D6" s="221"/>
      <c r="E6" s="222">
        <v>40908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15</v>
      </c>
      <c r="AT7" s="207" t="s">
        <v>223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17</v>
      </c>
      <c r="BI7" s="173" t="str">
        <f t="shared" ca="1" si="9"/>
        <v>SO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>
        <f t="shared" ca="1" si="3"/>
        <v>1</v>
      </c>
      <c r="AH8" s="169" t="str">
        <f t="shared" ref="AH8:AH67" ca="1" si="19">IF( LEN( $C8 ) = 0, "", IF( $C8 &lt; $AL8, 1, "" ) )</f>
        <v/>
      </c>
      <c r="AJ8" s="169">
        <f t="shared" ca="1" si="4"/>
        <v>17</v>
      </c>
      <c r="AK8" s="169" t="str">
        <f t="shared" ref="AK8:AL67" ca="1" si="20">IF( ISNA( $AJ8 ), "", OFFSET( INDIRECT( AK$2 ), $AJ8-1, 0 ) )</f>
        <v>BBB+</v>
      </c>
      <c r="AL8" s="169">
        <f t="shared" ca="1" si="20"/>
        <v>19</v>
      </c>
      <c r="AM8" s="169" t="str">
        <f t="shared" ca="1" si="5"/>
        <v>Change</v>
      </c>
      <c r="AQ8" s="207" t="s">
        <v>224</v>
      </c>
      <c r="AR8" s="207" t="s">
        <v>144</v>
      </c>
      <c r="AS8" s="207">
        <v>16</v>
      </c>
      <c r="AT8" s="207" t="s">
        <v>225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16</v>
      </c>
      <c r="BI8" s="173" t="str">
        <f t="shared" ca="1" si="9"/>
        <v>LNT</v>
      </c>
    </row>
    <row r="9" spans="1:61" ht="13.8" x14ac:dyDescent="0.25">
      <c r="A9" s="223" t="s">
        <v>232</v>
      </c>
      <c r="B9" s="224" t="s">
        <v>144</v>
      </c>
      <c r="C9" s="224">
        <v>20</v>
      </c>
      <c r="D9" s="224" t="s">
        <v>233</v>
      </c>
      <c r="E9" s="225" t="str">
        <f t="shared" ca="1" si="0"/>
        <v>R</v>
      </c>
      <c r="F9" s="347"/>
      <c r="G9" s="348">
        <f t="shared" ca="1" si="1"/>
        <v>18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0.16071428571428573</v>
      </c>
      <c r="N9" s="234"/>
      <c r="O9" s="215">
        <f t="shared" ca="1" si="12"/>
        <v>7</v>
      </c>
      <c r="P9" s="216">
        <f t="shared" ca="1" si="13"/>
        <v>0.19444444444444445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146</v>
      </c>
      <c r="AS9" s="207">
        <v>14</v>
      </c>
      <c r="AT9" s="207" t="s">
        <v>231</v>
      </c>
      <c r="AV9" s="168">
        <f t="shared" si="21"/>
        <v>23</v>
      </c>
      <c r="AW9" s="168">
        <f>COUNTIF( AV$7:AV9, AV9 )</f>
        <v>1</v>
      </c>
      <c r="AX9" s="208">
        <f t="shared" si="22"/>
        <v>23.1</v>
      </c>
      <c r="AY9" s="168">
        <f t="shared" si="23"/>
        <v>23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16</v>
      </c>
      <c r="BI9" s="173" t="str">
        <f t="shared" ca="1" si="9"/>
        <v>ED</v>
      </c>
    </row>
    <row r="10" spans="1:61" ht="13.8" x14ac:dyDescent="0.25">
      <c r="A10" s="223" t="s">
        <v>371</v>
      </c>
      <c r="B10" s="224" t="s">
        <v>144</v>
      </c>
      <c r="C10" s="224">
        <v>20</v>
      </c>
      <c r="D10" s="224" t="s">
        <v>199</v>
      </c>
      <c r="E10" s="225" t="str">
        <f t="shared" ca="1" si="0"/>
        <v>MR</v>
      </c>
      <c r="F10" s="347"/>
      <c r="G10" s="348">
        <f t="shared" ca="1" si="1"/>
        <v>20</v>
      </c>
      <c r="H10" s="349"/>
      <c r="I10" s="234"/>
      <c r="J10" s="215" t="s">
        <v>145</v>
      </c>
      <c r="K10" s="234"/>
      <c r="L10" s="215">
        <f t="shared" si="10"/>
        <v>12</v>
      </c>
      <c r="M10" s="216">
        <f t="shared" si="11"/>
        <v>0.21428571428571427</v>
      </c>
      <c r="N10" s="234"/>
      <c r="O10" s="215">
        <f t="shared" ca="1" si="12"/>
        <v>4</v>
      </c>
      <c r="P10" s="216">
        <f t="shared" ca="1" si="13"/>
        <v>0.1111111111111111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14</v>
      </c>
      <c r="AT10" s="207" t="s">
        <v>228</v>
      </c>
      <c r="AV10" s="168">
        <f t="shared" si="21"/>
        <v>23</v>
      </c>
      <c r="AW10" s="168">
        <f>COUNTIF( AV$7:AV10, AV10 )</f>
        <v>2</v>
      </c>
      <c r="AX10" s="208">
        <f t="shared" si="22"/>
        <v>23.2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16</v>
      </c>
      <c r="BI10" s="173" t="str">
        <f t="shared" ca="1" si="9"/>
        <v>D</v>
      </c>
    </row>
    <row r="11" spans="1:61" ht="13.8" x14ac:dyDescent="0.25">
      <c r="A11" s="223" t="s">
        <v>405</v>
      </c>
      <c r="B11" s="224" t="s">
        <v>144</v>
      </c>
      <c r="C11" s="224">
        <v>20</v>
      </c>
      <c r="D11" s="224" t="s">
        <v>406</v>
      </c>
      <c r="E11" s="225" t="str">
        <f t="shared" ca="1" si="0"/>
        <v>R</v>
      </c>
      <c r="F11" s="347"/>
      <c r="G11" s="348">
        <f t="shared" ca="1" si="1"/>
        <v>32</v>
      </c>
      <c r="H11" s="349"/>
      <c r="I11" s="234"/>
      <c r="J11" s="215" t="s">
        <v>146</v>
      </c>
      <c r="K11" s="234"/>
      <c r="L11" s="215">
        <f t="shared" si="10"/>
        <v>19</v>
      </c>
      <c r="M11" s="216">
        <f t="shared" si="11"/>
        <v>0.3392857142857143</v>
      </c>
      <c r="N11" s="234"/>
      <c r="O11" s="215">
        <f t="shared" ca="1" si="12"/>
        <v>16</v>
      </c>
      <c r="P11" s="216">
        <f t="shared" ca="1" si="13"/>
        <v>0.44444444444444442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14</v>
      </c>
      <c r="AT11" s="207" t="s">
        <v>244</v>
      </c>
      <c r="AV11" s="168">
        <f t="shared" si="21"/>
        <v>23</v>
      </c>
      <c r="AW11" s="168">
        <f>COUNTIF( AV$7:AV11, AV11 )</f>
        <v>3</v>
      </c>
      <c r="AX11" s="208">
        <f t="shared" si="22"/>
        <v>23.3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16</v>
      </c>
      <c r="BI11" s="173" t="str">
        <f t="shared" ca="1" si="9"/>
        <v>TEG</v>
      </c>
    </row>
    <row r="12" spans="1:61" ht="13.8" x14ac:dyDescent="0.25">
      <c r="A12" s="223" t="s">
        <v>245</v>
      </c>
      <c r="B12" s="224" t="s">
        <v>144</v>
      </c>
      <c r="C12" s="224">
        <v>20</v>
      </c>
      <c r="D12" s="224" t="s">
        <v>246</v>
      </c>
      <c r="E12" s="225" t="str">
        <f t="shared" ca="1" si="0"/>
        <v>MR</v>
      </c>
      <c r="F12" s="347"/>
      <c r="G12" s="348">
        <f t="shared" ca="1" si="1"/>
        <v>35</v>
      </c>
      <c r="H12" s="349"/>
      <c r="I12" s="234"/>
      <c r="J12" s="215" t="s">
        <v>147</v>
      </c>
      <c r="K12" s="234"/>
      <c r="L12" s="215">
        <f t="shared" si="10"/>
        <v>9</v>
      </c>
      <c r="M12" s="216">
        <f t="shared" si="11"/>
        <v>0.16071428571428573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9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13</v>
      </c>
      <c r="AT12" s="207" t="s">
        <v>251</v>
      </c>
      <c r="AV12" s="168">
        <f t="shared" si="21"/>
        <v>42</v>
      </c>
      <c r="AW12" s="168">
        <f>COUNTIF( AV$7:AV12, AV12 )</f>
        <v>1</v>
      </c>
      <c r="AX12" s="208">
        <f t="shared" si="22"/>
        <v>42.1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16</v>
      </c>
      <c r="BI12" s="173" t="str">
        <f t="shared" ca="1" si="9"/>
        <v>NEE</v>
      </c>
    </row>
    <row r="13" spans="1:61" ht="13.8" x14ac:dyDescent="0.25">
      <c r="A13" s="223" t="s">
        <v>404</v>
      </c>
      <c r="B13" s="224" t="s">
        <v>144</v>
      </c>
      <c r="C13" s="224">
        <v>20</v>
      </c>
      <c r="D13" s="224" t="s">
        <v>241</v>
      </c>
      <c r="E13" s="225" t="str">
        <f t="shared" ca="1" si="0"/>
        <v>R</v>
      </c>
      <c r="F13" s="347"/>
      <c r="G13" s="348">
        <f t="shared" ca="1" si="1"/>
        <v>37</v>
      </c>
      <c r="H13" s="349"/>
      <c r="I13" s="235"/>
      <c r="J13" s="217" t="s">
        <v>148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254</v>
      </c>
      <c r="AR13" s="207" t="s">
        <v>145</v>
      </c>
      <c r="AS13" s="207">
        <v>15</v>
      </c>
      <c r="AT13" s="207" t="s">
        <v>255</v>
      </c>
      <c r="AV13" s="168">
        <f t="shared" si="21"/>
        <v>11</v>
      </c>
      <c r="AW13" s="168">
        <f>COUNTIF( AV$7:AV13, AV13 )</f>
        <v>2</v>
      </c>
      <c r="AX13" s="208">
        <f t="shared" si="22"/>
        <v>11.2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16</v>
      </c>
      <c r="BI13" s="173" t="str">
        <f t="shared" ca="1" si="9"/>
        <v>ES</v>
      </c>
    </row>
    <row r="14" spans="1:61" ht="13.8" x14ac:dyDescent="0.25">
      <c r="A14" s="223" t="s">
        <v>355</v>
      </c>
      <c r="B14" s="224" t="s">
        <v>144</v>
      </c>
      <c r="C14" s="224">
        <v>20</v>
      </c>
      <c r="D14" s="224" t="s">
        <v>356</v>
      </c>
      <c r="E14" s="225" t="str">
        <f t="shared" ca="1" si="0"/>
        <v>R</v>
      </c>
      <c r="F14" s="347"/>
      <c r="G14" s="348">
        <f t="shared" ca="1" si="1"/>
        <v>58</v>
      </c>
      <c r="H14" s="349"/>
      <c r="I14" s="236"/>
      <c r="J14" s="211" t="s">
        <v>149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18.392857142857142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14</v>
      </c>
      <c r="AT14" s="207" t="s">
        <v>388</v>
      </c>
      <c r="AV14" s="168">
        <f>IF( LEN( AS14 ) = 0, 99, RANK( AS14, $AS$7:$AS$63 ) )</f>
        <v>23</v>
      </c>
      <c r="AW14" s="168">
        <f>COUNTIF( AV$7:AV14, AV14 )</f>
        <v>4</v>
      </c>
      <c r="AX14" s="208">
        <f t="shared" si="22"/>
        <v>23.4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50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16</v>
      </c>
      <c r="BI14" s="173" t="str">
        <f t="shared" ca="1" si="9"/>
        <v>VVC</v>
      </c>
    </row>
    <row r="15" spans="1:61" ht="13.8" x14ac:dyDescent="0.2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0"/>
        <v>R</v>
      </c>
      <c r="F15" s="347"/>
      <c r="G15" s="348">
        <f t="shared" ca="1" si="1"/>
        <v>60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146</v>
      </c>
      <c r="AS15" s="207">
        <v>14</v>
      </c>
      <c r="AT15" s="207" t="s">
        <v>262</v>
      </c>
      <c r="AV15" s="168">
        <f t="shared" si="21"/>
        <v>23</v>
      </c>
      <c r="AW15" s="168">
        <f>COUNTIF( AV$7:AV15, AV15 )</f>
        <v>5</v>
      </c>
      <c r="AX15" s="208">
        <f t="shared" si="22"/>
        <v>23.5</v>
      </c>
      <c r="AY15" s="168">
        <f t="shared" si="23"/>
        <v>27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16</v>
      </c>
      <c r="BI15" s="173" t="str">
        <f t="shared" ca="1" si="9"/>
        <v>WEC</v>
      </c>
    </row>
    <row r="16" spans="1:61" ht="13.8" x14ac:dyDescent="0.2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0"/>
        <v>R</v>
      </c>
      <c r="F16" s="347"/>
      <c r="G16" s="348">
        <f t="shared" ca="1" si="1"/>
        <v>61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18.285714285714285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18.361111111111111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18.705882352941178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15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16</v>
      </c>
      <c r="AT16" s="207" t="s">
        <v>233</v>
      </c>
      <c r="AV16" s="168">
        <f t="shared" si="21"/>
        <v>2</v>
      </c>
      <c r="AW16" s="168">
        <f>COUNTIF( AV$7:AV16, AV16 )</f>
        <v>2</v>
      </c>
      <c r="AX16" s="208">
        <f t="shared" si="22"/>
        <v>2.2000000000000002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53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16</v>
      </c>
      <c r="BI16" s="173" t="str">
        <f t="shared" ca="1" si="9"/>
        <v>XEL</v>
      </c>
    </row>
    <row r="17" spans="1:61" ht="13.8" x14ac:dyDescent="0.25">
      <c r="A17" s="223" t="s">
        <v>222</v>
      </c>
      <c r="B17" s="224" t="s">
        <v>145</v>
      </c>
      <c r="C17" s="224">
        <v>19</v>
      </c>
      <c r="D17" s="224" t="s">
        <v>223</v>
      </c>
      <c r="E17" s="225" t="str">
        <f t="shared" ca="1" si="0"/>
        <v>R</v>
      </c>
      <c r="F17" s="347"/>
      <c r="G17" s="348">
        <f t="shared" ca="1" si="1"/>
        <v>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371</v>
      </c>
      <c r="AR17" s="207" t="s">
        <v>144</v>
      </c>
      <c r="AS17" s="207">
        <v>16</v>
      </c>
      <c r="AT17" s="207" t="s">
        <v>199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15</v>
      </c>
      <c r="BI17" s="173" t="str">
        <f t="shared" ca="1" si="9"/>
        <v>ALE</v>
      </c>
    </row>
    <row r="18" spans="1:61" ht="13.8" x14ac:dyDescent="0.25">
      <c r="A18" s="223" t="s">
        <v>254</v>
      </c>
      <c r="B18" s="224" t="s">
        <v>145</v>
      </c>
      <c r="C18" s="224">
        <v>19</v>
      </c>
      <c r="D18" s="224" t="s">
        <v>255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180</v>
      </c>
      <c r="AS18" s="207">
        <v>11</v>
      </c>
      <c r="AT18" s="207" t="s">
        <v>265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15</v>
      </c>
      <c r="BI18" s="173" t="str">
        <f t="shared" ca="1" si="9"/>
        <v>CNP</v>
      </c>
    </row>
    <row r="19" spans="1:61" ht="13.8" x14ac:dyDescent="0.25">
      <c r="A19" s="223" t="s">
        <v>266</v>
      </c>
      <c r="B19" s="224" t="s">
        <v>145</v>
      </c>
      <c r="C19" s="224">
        <v>19</v>
      </c>
      <c r="D19" s="224" t="s">
        <v>267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15</v>
      </c>
      <c r="AT19" s="207" t="s">
        <v>267</v>
      </c>
      <c r="AV19" s="168">
        <f t="shared" si="21"/>
        <v>11</v>
      </c>
      <c r="AW19" s="168">
        <f>COUNTIF( AV$7:AV19, AV19 )</f>
        <v>3</v>
      </c>
      <c r="AX19" s="208">
        <f t="shared" si="22"/>
        <v>11.3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15</v>
      </c>
      <c r="BI19" s="173" t="str">
        <f t="shared" ca="1" si="9"/>
        <v>DTE</v>
      </c>
    </row>
    <row r="20" spans="1:61" ht="13.8" x14ac:dyDescent="0.25">
      <c r="A20" s="223" t="s">
        <v>268</v>
      </c>
      <c r="B20" s="224" t="s">
        <v>145</v>
      </c>
      <c r="C20" s="224">
        <v>19</v>
      </c>
      <c r="D20" s="224" t="s">
        <v>269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145</v>
      </c>
      <c r="AS20" s="207">
        <v>15</v>
      </c>
      <c r="AT20" s="207" t="s">
        <v>269</v>
      </c>
      <c r="AV20" s="168">
        <f t="shared" si="21"/>
        <v>11</v>
      </c>
      <c r="AW20" s="168">
        <f>COUNTIF( AV$7:AV20, AV20 )</f>
        <v>4</v>
      </c>
      <c r="AX20" s="208">
        <f t="shared" si="22"/>
        <v>11.4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15</v>
      </c>
      <c r="BI20" s="173" t="str">
        <f t="shared" ca="1" si="9"/>
        <v>DUK</v>
      </c>
    </row>
    <row r="21" spans="1:61" ht="13.8" x14ac:dyDescent="0.25">
      <c r="A21" s="223" t="s">
        <v>276</v>
      </c>
      <c r="B21" s="224" t="s">
        <v>145</v>
      </c>
      <c r="C21" s="224">
        <v>19</v>
      </c>
      <c r="D21" s="224" t="s">
        <v>277</v>
      </c>
      <c r="E21" s="225" t="str">
        <f t="shared" ca="1" si="0"/>
        <v>D</v>
      </c>
      <c r="F21" s="347"/>
      <c r="G21" s="348">
        <f t="shared" ca="1" si="1"/>
        <v>33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13</v>
      </c>
      <c r="AT21" s="207" t="s">
        <v>271</v>
      </c>
      <c r="AV21" s="168">
        <f t="shared" si="21"/>
        <v>42</v>
      </c>
      <c r="AW21" s="168">
        <f>COUNTIF( AV$7:AV21, AV21 )</f>
        <v>2</v>
      </c>
      <c r="AX21" s="208">
        <f t="shared" si="22"/>
        <v>42.2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15</v>
      </c>
      <c r="BI21" s="173" t="str">
        <f t="shared" ca="1" si="9"/>
        <v>MDU</v>
      </c>
    </row>
    <row r="22" spans="1:61" ht="13.8" x14ac:dyDescent="0.25">
      <c r="A22" s="223" t="s">
        <v>418</v>
      </c>
      <c r="B22" s="224" t="s">
        <v>145</v>
      </c>
      <c r="C22" s="224">
        <v>19</v>
      </c>
      <c r="D22" s="224" t="s">
        <v>221</v>
      </c>
      <c r="E22" s="225" t="str">
        <f t="shared" ca="1" si="0"/>
        <v>MR</v>
      </c>
      <c r="F22" s="347"/>
      <c r="G22" s="348">
        <f t="shared" ca="1" si="1"/>
        <v>67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338</v>
      </c>
      <c r="AR22" s="207" t="s">
        <v>146</v>
      </c>
      <c r="AS22" s="207">
        <v>14</v>
      </c>
      <c r="AT22" s="207" t="s">
        <v>341</v>
      </c>
      <c r="AV22" s="168">
        <f t="shared" si="21"/>
        <v>23</v>
      </c>
      <c r="AW22" s="168">
        <f>COUNTIF( AV$7:AV22, AV22 )</f>
        <v>6</v>
      </c>
      <c r="AX22" s="208">
        <f t="shared" si="22"/>
        <v>23.6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15</v>
      </c>
      <c r="BI22" s="173" t="str">
        <f t="shared" ca="1" si="9"/>
        <v>**BRK</v>
      </c>
    </row>
    <row r="23" spans="1:61" ht="13.8" x14ac:dyDescent="0.25">
      <c r="A23" s="223" t="s">
        <v>282</v>
      </c>
      <c r="B23" s="224" t="s">
        <v>145</v>
      </c>
      <c r="C23" s="224">
        <v>19</v>
      </c>
      <c r="D23" s="224" t="s">
        <v>283</v>
      </c>
      <c r="E23" s="225" t="str">
        <f t="shared" ca="1" si="0"/>
        <v>MR</v>
      </c>
      <c r="F23" s="347"/>
      <c r="G23" s="348">
        <f t="shared" ca="1" si="1"/>
        <v>41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377</v>
      </c>
      <c r="AR23" s="207" t="s">
        <v>146</v>
      </c>
      <c r="AS23" s="207">
        <v>14</v>
      </c>
      <c r="AT23" s="207" t="s">
        <v>378</v>
      </c>
      <c r="AV23" s="168">
        <f t="shared" si="21"/>
        <v>23</v>
      </c>
      <c r="AW23" s="168">
        <f>COUNTIF( AV$7:AV23, AV23 )</f>
        <v>7</v>
      </c>
      <c r="AX23" s="208">
        <f t="shared" si="22"/>
        <v>23.7</v>
      </c>
      <c r="AY23" s="168">
        <f t="shared" si="23"/>
        <v>29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15</v>
      </c>
      <c r="BI23" s="173" t="str">
        <f t="shared" ca="1" si="9"/>
        <v>OGE</v>
      </c>
    </row>
    <row r="24" spans="1:61" ht="13.8" x14ac:dyDescent="0.25">
      <c r="A24" s="223" t="s">
        <v>392</v>
      </c>
      <c r="B24" s="224" t="s">
        <v>145</v>
      </c>
      <c r="C24" s="224">
        <v>19</v>
      </c>
      <c r="D24" s="224" t="s">
        <v>393</v>
      </c>
      <c r="E24" s="225" t="str">
        <f t="shared" ca="1" si="0"/>
        <v>MR</v>
      </c>
      <c r="F24" s="347"/>
      <c r="G24" s="348">
        <f t="shared" ca="1" si="1"/>
        <v>43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381</v>
      </c>
      <c r="AR24" s="207" t="s">
        <v>192</v>
      </c>
      <c r="AS24" s="207">
        <v>5</v>
      </c>
      <c r="AT24" s="207" t="s">
        <v>369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15</v>
      </c>
      <c r="BI24" s="173" t="str">
        <f t="shared" ca="1" si="9"/>
        <v>POM</v>
      </c>
    </row>
    <row r="25" spans="1:61" ht="13.8" x14ac:dyDescent="0.25">
      <c r="A25" s="223" t="s">
        <v>286</v>
      </c>
      <c r="B25" s="224" t="s">
        <v>145</v>
      </c>
      <c r="C25" s="224">
        <v>19</v>
      </c>
      <c r="D25" s="224" t="s">
        <v>287</v>
      </c>
      <c r="E25" s="225" t="str">
        <f t="shared" ca="1" si="0"/>
        <v>R</v>
      </c>
      <c r="F25" s="347"/>
      <c r="G25" s="348">
        <f t="shared" ca="1" si="1"/>
        <v>45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14</v>
      </c>
      <c r="AT25" s="207" t="s">
        <v>273</v>
      </c>
      <c r="AV25" s="168">
        <f t="shared" si="21"/>
        <v>23</v>
      </c>
      <c r="AW25" s="168">
        <f>COUNTIF( AV$7:AV25, AV25 )</f>
        <v>8</v>
      </c>
      <c r="AX25" s="208">
        <f t="shared" si="22"/>
        <v>23.8</v>
      </c>
      <c r="AY25" s="168">
        <f t="shared" si="23"/>
        <v>30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15</v>
      </c>
      <c r="BI25" s="173" t="str">
        <f t="shared" ca="1" si="9"/>
        <v>PNW</v>
      </c>
    </row>
    <row r="26" spans="1:61" ht="13.8" x14ac:dyDescent="0.25">
      <c r="A26" s="223" t="s">
        <v>357</v>
      </c>
      <c r="B26" s="224" t="s">
        <v>145</v>
      </c>
      <c r="C26" s="224">
        <v>19</v>
      </c>
      <c r="D26" s="224" t="s">
        <v>358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14</v>
      </c>
      <c r="AT26" s="207" t="s">
        <v>275</v>
      </c>
      <c r="AV26" s="168">
        <f t="shared" si="21"/>
        <v>23</v>
      </c>
      <c r="AW26" s="168">
        <f>COUNTIF( AV$7:AV26, AV26 )</f>
        <v>9</v>
      </c>
      <c r="AX26" s="208">
        <f t="shared" si="22"/>
        <v>23.9</v>
      </c>
      <c r="AY26" s="168">
        <f t="shared" si="23"/>
        <v>31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15</v>
      </c>
      <c r="BI26" s="173" t="str">
        <f t="shared" ca="1" si="9"/>
        <v>SCG</v>
      </c>
    </row>
    <row r="27" spans="1:61" ht="13.8" x14ac:dyDescent="0.25">
      <c r="A27" s="223" t="s">
        <v>296</v>
      </c>
      <c r="B27" s="224" t="s">
        <v>145</v>
      </c>
      <c r="C27" s="224">
        <v>19</v>
      </c>
      <c r="D27" s="224" t="s">
        <v>297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13</v>
      </c>
      <c r="AT27" s="207" t="s">
        <v>281</v>
      </c>
      <c r="AV27" s="168">
        <f t="shared" si="21"/>
        <v>42</v>
      </c>
      <c r="AW27" s="168">
        <f>COUNTIF( AV$7:AV27, AV27 )</f>
        <v>3</v>
      </c>
      <c r="AX27" s="208">
        <f t="shared" si="22"/>
        <v>42.3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15</v>
      </c>
      <c r="BI27" s="173" t="str">
        <f t="shared" ca="1" si="9"/>
        <v>SRE</v>
      </c>
    </row>
    <row r="28" spans="1:61" ht="13.8" x14ac:dyDescent="0.25">
      <c r="A28" s="223" t="s">
        <v>379</v>
      </c>
      <c r="B28" s="224" t="s">
        <v>145</v>
      </c>
      <c r="C28" s="224">
        <v>19</v>
      </c>
      <c r="D28" s="224" t="s">
        <v>385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362</v>
      </c>
      <c r="AR28" s="207" t="s">
        <v>146</v>
      </c>
      <c r="AS28" s="207">
        <v>14</v>
      </c>
      <c r="AT28" s="207" t="s">
        <v>363</v>
      </c>
      <c r="AV28" s="168">
        <f t="shared" si="21"/>
        <v>23</v>
      </c>
      <c r="AW28" s="168">
        <f>COUNTIF( AV$7:AV28, AV28 )</f>
        <v>10</v>
      </c>
      <c r="AX28" s="208">
        <f t="shared" si="22"/>
        <v>24</v>
      </c>
      <c r="AY28" s="168">
        <f t="shared" si="23"/>
        <v>32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15</v>
      </c>
      <c r="BI28" s="173" t="str">
        <f t="shared" ca="1" si="9"/>
        <v>TE</v>
      </c>
    </row>
    <row r="29" spans="1:61" ht="13.8" x14ac:dyDescent="0.25">
      <c r="A29" s="223" t="s">
        <v>230</v>
      </c>
      <c r="B29" s="224" t="s">
        <v>146</v>
      </c>
      <c r="C29" s="224">
        <v>18</v>
      </c>
      <c r="D29" s="224" t="s">
        <v>231</v>
      </c>
      <c r="E29" s="225" t="str">
        <f t="shared" ca="1" si="0"/>
        <v>R</v>
      </c>
      <c r="F29" s="347"/>
      <c r="G29" s="348">
        <f t="shared" ca="1" si="1"/>
        <v>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9"/>
        <v/>
      </c>
      <c r="AJ29" s="169">
        <f t="shared" ca="1" si="4"/>
        <v>45</v>
      </c>
      <c r="AK29" s="169" t="str">
        <f t="shared" ca="1" si="20"/>
        <v>BBB-</v>
      </c>
      <c r="AL29" s="169">
        <f t="shared" ca="1" si="20"/>
        <v>17</v>
      </c>
      <c r="AM29" s="169" t="str">
        <f t="shared" ca="1" si="5"/>
        <v>Change</v>
      </c>
      <c r="AQ29" s="207" t="s">
        <v>284</v>
      </c>
      <c r="AR29" s="207" t="s">
        <v>147</v>
      </c>
      <c r="AS29" s="207">
        <v>13</v>
      </c>
      <c r="AT29" s="207" t="s">
        <v>285</v>
      </c>
      <c r="AV29" s="168">
        <f t="shared" si="21"/>
        <v>42</v>
      </c>
      <c r="AW29" s="168">
        <f>COUNTIF( AV$7:AV29, AV29 )</f>
        <v>4</v>
      </c>
      <c r="AX29" s="208">
        <f t="shared" si="22"/>
        <v>42.4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3</v>
      </c>
      <c r="BF29" s="173" t="str">
        <f t="shared" ca="1" si="8"/>
        <v>Ameren Corporation</v>
      </c>
      <c r="BG29" s="173" t="str">
        <f t="shared" ca="1" si="9"/>
        <v>BBB</v>
      </c>
      <c r="BH29" s="173">
        <f t="shared" ca="1" si="9"/>
        <v>14</v>
      </c>
      <c r="BI29" s="173" t="str">
        <f t="shared" ca="1" si="9"/>
        <v>AEE</v>
      </c>
    </row>
    <row r="30" spans="1:61" ht="13.8" x14ac:dyDescent="0.25">
      <c r="A30" s="223" t="s">
        <v>227</v>
      </c>
      <c r="B30" s="224" t="s">
        <v>146</v>
      </c>
      <c r="C30" s="224">
        <v>18</v>
      </c>
      <c r="D30" s="224" t="s">
        <v>228</v>
      </c>
      <c r="E30" s="225" t="str">
        <f t="shared" ca="1" si="0"/>
        <v>R</v>
      </c>
      <c r="F30" s="347"/>
      <c r="G30" s="348">
        <f t="shared" ca="1" si="1"/>
        <v>10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397</v>
      </c>
      <c r="AR30" s="207" t="s">
        <v>146</v>
      </c>
      <c r="AS30" s="207">
        <v>14</v>
      </c>
      <c r="AT30" s="207" t="s">
        <v>398</v>
      </c>
      <c r="AV30" s="168">
        <f t="shared" si="21"/>
        <v>23</v>
      </c>
      <c r="AW30" s="168">
        <f>COUNTIF( AV$7:AV30, AV30 )</f>
        <v>11</v>
      </c>
      <c r="AX30" s="208">
        <f t="shared" si="22"/>
        <v>24.1</v>
      </c>
      <c r="AY30" s="168">
        <f t="shared" si="23"/>
        <v>33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14</v>
      </c>
      <c r="BI30" s="173" t="str">
        <f t="shared" ca="1" si="9"/>
        <v>AEP</v>
      </c>
    </row>
    <row r="31" spans="1:61" ht="13.8" x14ac:dyDescent="0.25">
      <c r="A31" s="223" t="s">
        <v>243</v>
      </c>
      <c r="B31" s="224" t="s">
        <v>146</v>
      </c>
      <c r="C31" s="224">
        <v>18</v>
      </c>
      <c r="D31" s="224" t="s">
        <v>244</v>
      </c>
      <c r="E31" s="225" t="str">
        <f t="shared" ca="1" si="0"/>
        <v>R</v>
      </c>
      <c r="F31" s="347"/>
      <c r="G31" s="348">
        <f t="shared" ca="1" si="1"/>
        <v>11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14</v>
      </c>
      <c r="AT31" s="207" t="s">
        <v>289</v>
      </c>
      <c r="AV31" s="168">
        <f t="shared" si="21"/>
        <v>23</v>
      </c>
      <c r="AW31" s="168">
        <f>COUNTIF( AV$7:AV31, AV31 )</f>
        <v>12</v>
      </c>
      <c r="AX31" s="208">
        <f t="shared" si="22"/>
        <v>24.2</v>
      </c>
      <c r="AY31" s="168">
        <f t="shared" si="23"/>
        <v>34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14</v>
      </c>
      <c r="BI31" s="173" t="str">
        <f t="shared" ca="1" si="9"/>
        <v>AVA</v>
      </c>
    </row>
    <row r="32" spans="1:61" ht="13.8" x14ac:dyDescent="0.25">
      <c r="A32" s="223" t="s">
        <v>259</v>
      </c>
      <c r="B32" s="224" t="s">
        <v>146</v>
      </c>
      <c r="C32" s="224">
        <v>18</v>
      </c>
      <c r="D32" s="224" t="s">
        <v>388</v>
      </c>
      <c r="E32" s="225" t="str">
        <f t="shared" ca="1" si="0"/>
        <v>R</v>
      </c>
      <c r="F32" s="347"/>
      <c r="G32" s="348">
        <f t="shared" ca="1" si="1"/>
        <v>16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405</v>
      </c>
      <c r="AR32" s="207" t="s">
        <v>144</v>
      </c>
      <c r="AS32" s="207">
        <v>16</v>
      </c>
      <c r="AT32" s="207" t="s">
        <v>406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14</v>
      </c>
      <c r="BI32" s="173" t="str">
        <f t="shared" ca="1" si="9"/>
        <v>CNL</v>
      </c>
    </row>
    <row r="33" spans="1:61" ht="13.8" x14ac:dyDescent="0.25">
      <c r="A33" s="223" t="s">
        <v>261</v>
      </c>
      <c r="B33" s="224" t="s">
        <v>146</v>
      </c>
      <c r="C33" s="224">
        <v>18</v>
      </c>
      <c r="D33" s="224" t="s">
        <v>262</v>
      </c>
      <c r="E33" s="225" t="str">
        <f t="shared" ca="1" si="0"/>
        <v>R</v>
      </c>
      <c r="F33" s="347"/>
      <c r="G33" s="348">
        <f t="shared" ca="1" si="1"/>
        <v>17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>
        <f t="shared" ca="1" si="3"/>
        <v>1</v>
      </c>
      <c r="AH33" s="169" t="str">
        <f t="shared" ca="1" si="19"/>
        <v/>
      </c>
      <c r="AJ33" s="169">
        <f t="shared" ca="1" si="4"/>
        <v>47</v>
      </c>
      <c r="AK33" s="169" t="str">
        <f t="shared" ca="1" si="20"/>
        <v>BBB-</v>
      </c>
      <c r="AL33" s="169">
        <f t="shared" ca="1" si="20"/>
        <v>17</v>
      </c>
      <c r="AM33" s="169" t="str">
        <f t="shared" ca="1" si="5"/>
        <v>Change</v>
      </c>
      <c r="AQ33" s="207" t="s">
        <v>292</v>
      </c>
      <c r="AR33" s="207" t="s">
        <v>147</v>
      </c>
      <c r="AS33" s="207">
        <v>13</v>
      </c>
      <c r="AT33" s="207" t="s">
        <v>293</v>
      </c>
      <c r="AV33" s="168">
        <f t="shared" si="21"/>
        <v>42</v>
      </c>
      <c r="AW33" s="168">
        <f>COUNTIF( AV$7:AV33, AV33 )</f>
        <v>5</v>
      </c>
      <c r="AX33" s="208">
        <f t="shared" si="22"/>
        <v>42.5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9</v>
      </c>
      <c r="BF33" s="173" t="str">
        <f t="shared" ca="1" si="8"/>
        <v>CMS Energy Corporation</v>
      </c>
      <c r="BG33" s="173" t="str">
        <f t="shared" ca="1" si="9"/>
        <v>BBB</v>
      </c>
      <c r="BH33" s="173">
        <f t="shared" ca="1" si="9"/>
        <v>14</v>
      </c>
      <c r="BI33" s="173" t="str">
        <f t="shared" ca="1" si="9"/>
        <v>CMS</v>
      </c>
    </row>
    <row r="34" spans="1:61" ht="13.8" x14ac:dyDescent="0.25">
      <c r="A34" s="223" t="s">
        <v>338</v>
      </c>
      <c r="B34" s="224" t="s">
        <v>146</v>
      </c>
      <c r="C34" s="224">
        <v>18</v>
      </c>
      <c r="D34" s="224" t="s">
        <v>341</v>
      </c>
      <c r="E34" s="225" t="str">
        <f t="shared" ca="1" si="0"/>
        <v>R</v>
      </c>
      <c r="F34" s="347"/>
      <c r="G34" s="348">
        <f t="shared" ca="1" si="1"/>
        <v>24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32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15</v>
      </c>
      <c r="AT34" s="207" t="s">
        <v>277</v>
      </c>
      <c r="AV34" s="168">
        <f t="shared" si="21"/>
        <v>11</v>
      </c>
      <c r="AW34" s="168">
        <f>COUNTIF( AV$7:AV34, AV34 )</f>
        <v>5</v>
      </c>
      <c r="AX34" s="208">
        <f t="shared" si="22"/>
        <v>11.5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14</v>
      </c>
      <c r="BI34" s="173" t="str">
        <f t="shared" ca="1" si="9"/>
        <v>EE</v>
      </c>
    </row>
    <row r="35" spans="1:61" ht="13.8" x14ac:dyDescent="0.25">
      <c r="A35" s="223" t="s">
        <v>377</v>
      </c>
      <c r="B35" s="224" t="s">
        <v>146</v>
      </c>
      <c r="C35" s="224">
        <v>18</v>
      </c>
      <c r="D35" s="224" t="s">
        <v>378</v>
      </c>
      <c r="E35" s="225" t="str">
        <f t="shared" ca="1" si="0"/>
        <v>R</v>
      </c>
      <c r="F35" s="347"/>
      <c r="G35" s="348">
        <f t="shared" ca="1" si="1"/>
        <v>25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9"/>
        <v/>
      </c>
      <c r="AJ35" s="169">
        <f t="shared" ca="1" si="4"/>
        <v>49</v>
      </c>
      <c r="AK35" s="169" t="str">
        <f t="shared" ca="1" si="20"/>
        <v>BBB-</v>
      </c>
      <c r="AL35" s="169">
        <f t="shared" ca="1" si="20"/>
        <v>17</v>
      </c>
      <c r="AM35" s="169" t="str">
        <f t="shared" ca="1" si="5"/>
        <v>Change</v>
      </c>
      <c r="AQ35" s="207" t="s">
        <v>418</v>
      </c>
      <c r="AR35" s="207" t="s">
        <v>145</v>
      </c>
      <c r="AS35" s="207">
        <v>15</v>
      </c>
      <c r="AT35" s="207" t="s">
        <v>221</v>
      </c>
      <c r="AV35" s="168">
        <f t="shared" si="21"/>
        <v>11</v>
      </c>
      <c r="AW35" s="168">
        <f>COUNTIF( AV$7:AV35, AV35 )</f>
        <v>6</v>
      </c>
      <c r="AX35" s="208">
        <f t="shared" si="22"/>
        <v>11.6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17</v>
      </c>
      <c r="BF35" s="173" t="str">
        <f t="shared" ca="1" si="8"/>
        <v>Empire District Electric Company</v>
      </c>
      <c r="BG35" s="173" t="str">
        <f t="shared" ca="1" si="9"/>
        <v>BBB</v>
      </c>
      <c r="BH35" s="173">
        <f t="shared" ca="1" si="9"/>
        <v>14</v>
      </c>
      <c r="BI35" s="173" t="str">
        <f t="shared" ca="1" si="9"/>
        <v>EDE</v>
      </c>
    </row>
    <row r="36" spans="1:61" ht="13.8" x14ac:dyDescent="0.25">
      <c r="A36" s="223" t="s">
        <v>272</v>
      </c>
      <c r="B36" s="224" t="s">
        <v>146</v>
      </c>
      <c r="C36" s="224">
        <v>18</v>
      </c>
      <c r="D36" s="224" t="s">
        <v>273</v>
      </c>
      <c r="E36" s="225" t="str">
        <f t="shared" ca="1" si="0"/>
        <v>R</v>
      </c>
      <c r="F36" s="347"/>
      <c r="G36" s="348">
        <f t="shared" ca="1" si="1"/>
        <v>26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34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16</v>
      </c>
      <c r="AT36" s="207" t="s">
        <v>246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19</v>
      </c>
      <c r="BF36" s="173" t="str">
        <f t="shared" ca="1" si="8"/>
        <v>Entergy Corporation</v>
      </c>
      <c r="BG36" s="173" t="str">
        <f t="shared" ca="1" si="9"/>
        <v>BBB</v>
      </c>
      <c r="BH36" s="173">
        <f t="shared" ca="1" si="9"/>
        <v>14</v>
      </c>
      <c r="BI36" s="173" t="str">
        <f t="shared" ca="1" si="9"/>
        <v>ETR</v>
      </c>
    </row>
    <row r="37" spans="1:61" ht="13.8" x14ac:dyDescent="0.25">
      <c r="A37" s="223" t="s">
        <v>274</v>
      </c>
      <c r="B37" s="224" t="s">
        <v>146</v>
      </c>
      <c r="C37" s="224">
        <v>18</v>
      </c>
      <c r="D37" s="224" t="s">
        <v>275</v>
      </c>
      <c r="E37" s="225" t="str">
        <f t="shared" ca="1" si="0"/>
        <v>MR</v>
      </c>
      <c r="F37" s="347"/>
      <c r="G37" s="348">
        <f t="shared" ca="1" si="1"/>
        <v>27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13</v>
      </c>
      <c r="AT37" s="207" t="s">
        <v>279</v>
      </c>
      <c r="AV37" s="168">
        <f t="shared" si="21"/>
        <v>42</v>
      </c>
      <c r="AW37" s="168">
        <f>COUNTIF( AV$7:AV37, AV37 )</f>
        <v>6</v>
      </c>
      <c r="AX37" s="208">
        <f t="shared" si="22"/>
        <v>42.6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20</v>
      </c>
      <c r="BF37" s="173" t="str">
        <f t="shared" ca="1" si="8"/>
        <v>Exelon Corporation</v>
      </c>
      <c r="BG37" s="173" t="str">
        <f t="shared" ca="1" si="9"/>
        <v>BBB</v>
      </c>
      <c r="BH37" s="173">
        <f t="shared" ca="1" si="9"/>
        <v>14</v>
      </c>
      <c r="BI37" s="173" t="str">
        <f t="shared" ca="1" si="9"/>
        <v>EXC</v>
      </c>
    </row>
    <row r="38" spans="1:61" ht="13.8" x14ac:dyDescent="0.25">
      <c r="A38" s="223" t="s">
        <v>362</v>
      </c>
      <c r="B38" s="224" t="s">
        <v>146</v>
      </c>
      <c r="C38" s="224">
        <v>18</v>
      </c>
      <c r="D38" s="224" t="s">
        <v>363</v>
      </c>
      <c r="E38" s="225" t="str">
        <f t="shared" ca="1" si="0"/>
        <v>R</v>
      </c>
      <c r="F38" s="347"/>
      <c r="G38" s="348">
        <f t="shared" ca="1" si="1"/>
        <v>29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404</v>
      </c>
      <c r="AR38" s="207" t="s">
        <v>144</v>
      </c>
      <c r="AS38" s="207">
        <v>16</v>
      </c>
      <c r="AT38" s="207" t="s">
        <v>241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22</v>
      </c>
      <c r="BF38" s="173" t="str">
        <f t="shared" ca="1" si="8"/>
        <v>Great Plains Energy Inc.</v>
      </c>
      <c r="BG38" s="173" t="str">
        <f t="shared" ca="1" si="9"/>
        <v>BBB</v>
      </c>
      <c r="BH38" s="173">
        <f t="shared" ca="1" si="9"/>
        <v>14</v>
      </c>
      <c r="BI38" s="173" t="str">
        <f t="shared" ca="1" si="9"/>
        <v>GXP</v>
      </c>
    </row>
    <row r="39" spans="1:61" ht="13.8" x14ac:dyDescent="0.25">
      <c r="A39" s="223" t="s">
        <v>397</v>
      </c>
      <c r="B39" s="224" t="s">
        <v>146</v>
      </c>
      <c r="C39" s="224">
        <v>18</v>
      </c>
      <c r="D39" s="224" t="s">
        <v>398</v>
      </c>
      <c r="E39" s="225" t="str">
        <f t="shared" ca="1" si="0"/>
        <v>R</v>
      </c>
      <c r="F39" s="347"/>
      <c r="G39" s="348">
        <f t="shared" ca="1" si="1"/>
        <v>63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33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14</v>
      </c>
      <c r="AT39" s="207" t="s">
        <v>303</v>
      </c>
      <c r="AV39" s="168">
        <f t="shared" si="21"/>
        <v>23</v>
      </c>
      <c r="AW39" s="168">
        <f>COUNTIF( AV$7:AV39, AV39 )</f>
        <v>13</v>
      </c>
      <c r="AX39" s="208">
        <f t="shared" si="22"/>
        <v>24.3</v>
      </c>
      <c r="AY39" s="168">
        <f t="shared" si="23"/>
        <v>35</v>
      </c>
      <c r="AZ39" s="169"/>
      <c r="BA39" s="169"/>
      <c r="BC39" s="168">
        <f t="shared" ca="1" si="24"/>
        <v>33</v>
      </c>
      <c r="BD39" s="209">
        <f t="shared" ca="1" si="7"/>
        <v>24</v>
      </c>
      <c r="BF39" s="173" t="str">
        <f t="shared" ref="BF39:BF63" ca="1" si="25">OFFSET( AQ$6, $BD39, 0 )</f>
        <v>Iberdrola USA</v>
      </c>
      <c r="BG39" s="173" t="str">
        <f t="shared" ca="1" si="9"/>
        <v>BBB</v>
      </c>
      <c r="BH39" s="173">
        <f t="shared" ca="1" si="9"/>
        <v>14</v>
      </c>
      <c r="BI39" s="173" t="str">
        <f t="shared" ca="1" si="9"/>
        <v>**EAST</v>
      </c>
    </row>
    <row r="40" spans="1:61" ht="13.8" x14ac:dyDescent="0.25">
      <c r="A40" s="223" t="s">
        <v>288</v>
      </c>
      <c r="B40" s="224" t="s">
        <v>146</v>
      </c>
      <c r="C40" s="224">
        <v>18</v>
      </c>
      <c r="D40" s="224" t="s">
        <v>289</v>
      </c>
      <c r="E40" s="225" t="str">
        <f t="shared" ca="1" si="0"/>
        <v>R</v>
      </c>
      <c r="F40" s="347"/>
      <c r="G40" s="348">
        <f t="shared" ca="1" si="1"/>
        <v>31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421</v>
      </c>
      <c r="AR40" s="207" t="s">
        <v>147</v>
      </c>
      <c r="AS40" s="207">
        <v>13</v>
      </c>
      <c r="AT40" s="207" t="s">
        <v>422</v>
      </c>
      <c r="AV40" s="168">
        <f t="shared" si="21"/>
        <v>42</v>
      </c>
      <c r="AW40" s="168">
        <f>COUNTIF( AV$7:AV40, AV40 )</f>
        <v>7</v>
      </c>
      <c r="AX40" s="208">
        <f t="shared" si="22"/>
        <v>42.7</v>
      </c>
      <c r="AY40" s="168">
        <f t="shared" si="23"/>
        <v>48</v>
      </c>
      <c r="AZ40" s="169"/>
      <c r="BA40" s="169"/>
      <c r="BC40" s="168">
        <f t="shared" ca="1" si="24"/>
        <v>34</v>
      </c>
      <c r="BD40" s="209">
        <f t="shared" ca="1" si="7"/>
        <v>25</v>
      </c>
      <c r="BF40" s="173" t="str">
        <f t="shared" ca="1" si="25"/>
        <v>IDACORP, Inc.</v>
      </c>
      <c r="BG40" s="173" t="str">
        <f t="shared" ca="1" si="9"/>
        <v>BBB</v>
      </c>
      <c r="BH40" s="173">
        <f t="shared" ca="1" si="9"/>
        <v>14</v>
      </c>
      <c r="BI40" s="173" t="str">
        <f t="shared" ca="1" si="9"/>
        <v>IDA</v>
      </c>
    </row>
    <row r="41" spans="1:61" ht="13.8" x14ac:dyDescent="0.2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0"/>
        <v>R</v>
      </c>
      <c r="F41" s="347"/>
      <c r="G41" s="348">
        <f t="shared" ca="1" si="1"/>
        <v>38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282</v>
      </c>
      <c r="AR41" s="207" t="s">
        <v>145</v>
      </c>
      <c r="AS41" s="207">
        <v>15</v>
      </c>
      <c r="AT41" s="207" t="s">
        <v>283</v>
      </c>
      <c r="AV41" s="168">
        <f t="shared" si="21"/>
        <v>11</v>
      </c>
      <c r="AW41" s="168">
        <f>COUNTIF( AV$7:AV41, AV41 )</f>
        <v>7</v>
      </c>
      <c r="AX41" s="208">
        <f t="shared" si="22"/>
        <v>11.7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33</v>
      </c>
      <c r="BF41" s="173" t="str">
        <f t="shared" ca="1" si="25"/>
        <v>NorthWestern Corporation</v>
      </c>
      <c r="BG41" s="173" t="str">
        <f t="shared" ca="1" si="9"/>
        <v>BBB</v>
      </c>
      <c r="BH41" s="173">
        <f t="shared" ca="1" si="9"/>
        <v>14</v>
      </c>
      <c r="BI41" s="173" t="str">
        <f t="shared" ca="1" si="9"/>
        <v>NWE</v>
      </c>
    </row>
    <row r="42" spans="1:61" ht="13.8" x14ac:dyDescent="0.25">
      <c r="A42" s="223" t="s">
        <v>306</v>
      </c>
      <c r="B42" s="224" t="s">
        <v>146</v>
      </c>
      <c r="C42" s="224">
        <v>18</v>
      </c>
      <c r="D42" s="224" t="s">
        <v>307</v>
      </c>
      <c r="E42" s="225" t="str">
        <f t="shared" ca="1" si="0"/>
        <v>R</v>
      </c>
      <c r="F42" s="347"/>
      <c r="G42" s="348">
        <f t="shared" ca="1" si="1"/>
        <v>44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304</v>
      </c>
      <c r="AR42" s="207" t="s">
        <v>147</v>
      </c>
      <c r="AS42" s="207">
        <v>13</v>
      </c>
      <c r="AT42" s="207" t="s">
        <v>305</v>
      </c>
      <c r="AV42" s="168">
        <f t="shared" si="21"/>
        <v>42</v>
      </c>
      <c r="AW42" s="168">
        <f>COUNTIF( AV$7:AV42, AV42 )</f>
        <v>8</v>
      </c>
      <c r="AX42" s="208">
        <f t="shared" si="22"/>
        <v>42.8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38</v>
      </c>
      <c r="BF42" s="173" t="str">
        <f t="shared" ca="1" si="25"/>
        <v>PG&amp;E Corporation</v>
      </c>
      <c r="BG42" s="173" t="str">
        <f t="shared" ca="1" si="9"/>
        <v>BBB</v>
      </c>
      <c r="BH42" s="173">
        <f t="shared" ca="1" si="9"/>
        <v>14</v>
      </c>
      <c r="BI42" s="173" t="str">
        <f t="shared" ca="1" si="9"/>
        <v>PCG</v>
      </c>
    </row>
    <row r="43" spans="1:61" ht="13.8" x14ac:dyDescent="0.25">
      <c r="A43" s="223" t="s">
        <v>290</v>
      </c>
      <c r="B43" s="224" t="s">
        <v>146</v>
      </c>
      <c r="C43" s="224">
        <v>18</v>
      </c>
      <c r="D43" s="224" t="s">
        <v>291</v>
      </c>
      <c r="E43" s="225" t="str">
        <f t="shared" ca="1" si="0"/>
        <v>R</v>
      </c>
      <c r="F43" s="347"/>
      <c r="G43" s="348">
        <f t="shared" ca="1" si="1"/>
        <v>47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40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392</v>
      </c>
      <c r="AR43" s="207" t="s">
        <v>145</v>
      </c>
      <c r="AS43" s="207">
        <v>15</v>
      </c>
      <c r="AT43" s="207" t="s">
        <v>393</v>
      </c>
      <c r="AV43" s="168">
        <f t="shared" si="21"/>
        <v>11</v>
      </c>
      <c r="AW43" s="168">
        <f>COUNTIF( AV$7:AV43, AV43 )</f>
        <v>8</v>
      </c>
      <c r="AX43" s="208">
        <f t="shared" si="22"/>
        <v>11.8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41</v>
      </c>
      <c r="BF43" s="173" t="str">
        <f t="shared" ca="1" si="25"/>
        <v>Portland General Electric Company</v>
      </c>
      <c r="BG43" s="173" t="str">
        <f t="shared" ca="1" si="9"/>
        <v>BBB</v>
      </c>
      <c r="BH43" s="173">
        <f t="shared" ca="1" si="9"/>
        <v>14</v>
      </c>
      <c r="BI43" s="173" t="str">
        <f t="shared" ca="1" si="9"/>
        <v>POR</v>
      </c>
    </row>
    <row r="44" spans="1:61" ht="13.8" x14ac:dyDescent="0.25">
      <c r="A44" s="223" t="s">
        <v>248</v>
      </c>
      <c r="B44" s="224" t="s">
        <v>146</v>
      </c>
      <c r="C44" s="224">
        <v>18</v>
      </c>
      <c r="D44" s="224" t="s">
        <v>249</v>
      </c>
      <c r="E44" s="225" t="str">
        <f t="shared" ca="1" si="0"/>
        <v>MR</v>
      </c>
      <c r="F44" s="347"/>
      <c r="G44" s="348">
        <f t="shared" ca="1" si="1"/>
        <v>48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41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14</v>
      </c>
      <c r="AT44" s="207" t="s">
        <v>307</v>
      </c>
      <c r="AV44" s="168">
        <f t="shared" si="21"/>
        <v>23</v>
      </c>
      <c r="AW44" s="168">
        <f>COUNTIF( AV$7:AV44, AV44 )</f>
        <v>14</v>
      </c>
      <c r="AX44" s="208">
        <f t="shared" si="22"/>
        <v>24.4</v>
      </c>
      <c r="AY44" s="168">
        <f t="shared" si="23"/>
        <v>36</v>
      </c>
      <c r="AZ44" s="169"/>
      <c r="BA44" s="169"/>
      <c r="BC44" s="168">
        <f t="shared" ca="1" si="24"/>
        <v>38</v>
      </c>
      <c r="BD44" s="209">
        <f t="shared" ca="1" si="7"/>
        <v>42</v>
      </c>
      <c r="BF44" s="173" t="str">
        <f t="shared" ca="1" si="25"/>
        <v>PPL Corporation</v>
      </c>
      <c r="BG44" s="173" t="str">
        <f t="shared" ca="1" si="9"/>
        <v>BBB</v>
      </c>
      <c r="BH44" s="173">
        <f t="shared" ca="1" si="9"/>
        <v>14</v>
      </c>
      <c r="BI44" s="173" t="str">
        <f t="shared" ca="1" si="9"/>
        <v>PPL</v>
      </c>
    </row>
    <row r="45" spans="1:61" ht="13.8" x14ac:dyDescent="0.25">
      <c r="A45" s="223" t="s">
        <v>294</v>
      </c>
      <c r="B45" s="224" t="s">
        <v>146</v>
      </c>
      <c r="C45" s="224">
        <v>18</v>
      </c>
      <c r="D45" s="224" t="s">
        <v>295</v>
      </c>
      <c r="E45" s="225" t="str">
        <f t="shared" ca="1" si="0"/>
        <v>MR</v>
      </c>
      <c r="F45" s="347"/>
      <c r="G45" s="348">
        <f t="shared" ca="1" si="1"/>
        <v>50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42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286</v>
      </c>
      <c r="AR45" s="207" t="s">
        <v>145</v>
      </c>
      <c r="AS45" s="207">
        <v>15</v>
      </c>
      <c r="AT45" s="207" t="s">
        <v>287</v>
      </c>
      <c r="AV45" s="168">
        <f t="shared" si="21"/>
        <v>11</v>
      </c>
      <c r="AW45" s="168">
        <f>COUNTIF( AV$7:AV45, AV45 )</f>
        <v>9</v>
      </c>
      <c r="AX45" s="208">
        <f t="shared" si="22"/>
        <v>11.9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43</v>
      </c>
      <c r="BF45" s="173" t="str">
        <f t="shared" ca="1" si="25"/>
        <v>Public Service Enterprise Group Incorporated</v>
      </c>
      <c r="BG45" s="173" t="str">
        <f t="shared" ca="1" si="9"/>
        <v>BBB</v>
      </c>
      <c r="BH45" s="173">
        <f t="shared" ca="1" si="9"/>
        <v>14</v>
      </c>
      <c r="BI45" s="173" t="str">
        <f t="shared" ca="1" si="9"/>
        <v>PEG</v>
      </c>
    </row>
    <row r="46" spans="1:61" ht="13.8" x14ac:dyDescent="0.25">
      <c r="A46" s="223" t="s">
        <v>399</v>
      </c>
      <c r="B46" s="224" t="s">
        <v>146</v>
      </c>
      <c r="C46" s="224">
        <v>18</v>
      </c>
      <c r="D46" s="224" t="s">
        <v>400</v>
      </c>
      <c r="E46" s="225" t="str">
        <f t="shared" ca="1" si="0"/>
        <v>R</v>
      </c>
      <c r="F46" s="347"/>
      <c r="G46" s="348">
        <f t="shared" ca="1" si="1"/>
        <v>55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308</v>
      </c>
      <c r="AR46" s="207" t="s">
        <v>147</v>
      </c>
      <c r="AS46" s="207">
        <v>13</v>
      </c>
      <c r="AT46" s="207" t="s">
        <v>309</v>
      </c>
      <c r="AV46" s="168">
        <f t="shared" si="21"/>
        <v>42</v>
      </c>
      <c r="AW46" s="168">
        <f>COUNTIF( AV$7:AV46, AV46 )</f>
        <v>9</v>
      </c>
      <c r="AX46" s="208">
        <f t="shared" si="22"/>
        <v>42.9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49</v>
      </c>
      <c r="BF46" s="173" t="str">
        <f t="shared" ca="1" si="25"/>
        <v>UIL Holdings Corporation</v>
      </c>
      <c r="BG46" s="173" t="str">
        <f t="shared" ca="1" si="9"/>
        <v>BBB</v>
      </c>
      <c r="BH46" s="173">
        <f t="shared" ca="1" si="9"/>
        <v>14</v>
      </c>
      <c r="BI46" s="173" t="str">
        <f t="shared" ca="1" si="9"/>
        <v>UIL</v>
      </c>
    </row>
    <row r="47" spans="1:61" ht="13.8" x14ac:dyDescent="0.25">
      <c r="A47" s="223" t="s">
        <v>364</v>
      </c>
      <c r="B47" s="224" t="s">
        <v>146</v>
      </c>
      <c r="C47" s="224">
        <v>18</v>
      </c>
      <c r="D47" s="224" t="s">
        <v>365</v>
      </c>
      <c r="E47" s="225" t="str">
        <f t="shared" ca="1" si="0"/>
        <v>R</v>
      </c>
      <c r="F47" s="347"/>
      <c r="G47" s="348">
        <f t="shared" ca="1" si="1"/>
        <v>59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290</v>
      </c>
      <c r="AR47" s="207" t="s">
        <v>146</v>
      </c>
      <c r="AS47" s="207">
        <v>14</v>
      </c>
      <c r="AT47" s="207" t="s">
        <v>291</v>
      </c>
      <c r="AV47" s="168">
        <f t="shared" si="21"/>
        <v>23</v>
      </c>
      <c r="AW47" s="168">
        <f>COUNTIF( AV$7:AV47, AV47 )</f>
        <v>15</v>
      </c>
      <c r="AX47" s="208">
        <f t="shared" si="22"/>
        <v>24.5</v>
      </c>
      <c r="AY47" s="168">
        <f t="shared" si="23"/>
        <v>37</v>
      </c>
      <c r="AZ47" s="169"/>
      <c r="BA47" s="169"/>
      <c r="BC47" s="168">
        <f t="shared" ca="1" si="24"/>
        <v>41</v>
      </c>
      <c r="BD47" s="209">
        <f t="shared" ca="1" si="7"/>
        <v>51</v>
      </c>
      <c r="BF47" s="173" t="str">
        <f t="shared" ca="1" si="25"/>
        <v>Westar Energy, Inc.</v>
      </c>
      <c r="BG47" s="173" t="str">
        <f t="shared" ca="1" si="9"/>
        <v>BBB</v>
      </c>
      <c r="BH47" s="173">
        <f t="shared" ca="1" si="9"/>
        <v>14</v>
      </c>
      <c r="BI47" s="173" t="str">
        <f t="shared" ca="1" si="9"/>
        <v>WR</v>
      </c>
    </row>
    <row r="48" spans="1:61" ht="13.8" x14ac:dyDescent="0.25">
      <c r="A48" s="223" t="s">
        <v>250</v>
      </c>
      <c r="B48" s="224" t="s">
        <v>147</v>
      </c>
      <c r="C48" s="224">
        <v>17</v>
      </c>
      <c r="D48" s="224" t="s">
        <v>251</v>
      </c>
      <c r="E48" s="225" t="str">
        <f t="shared" ca="1" si="0"/>
        <v>MR</v>
      </c>
      <c r="F48" s="347"/>
      <c r="G48" s="348">
        <f t="shared" ca="1" si="1"/>
        <v>12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248</v>
      </c>
      <c r="AR48" s="207" t="s">
        <v>146</v>
      </c>
      <c r="AS48" s="207">
        <v>14</v>
      </c>
      <c r="AT48" s="207" t="s">
        <v>249</v>
      </c>
      <c r="AV48" s="168">
        <f t="shared" si="21"/>
        <v>23</v>
      </c>
      <c r="AW48" s="168">
        <f>COUNTIF( AV$7:AV48, AV48 )</f>
        <v>16</v>
      </c>
      <c r="AX48" s="208">
        <f t="shared" si="22"/>
        <v>24.6</v>
      </c>
      <c r="AY48" s="168">
        <f t="shared" si="23"/>
        <v>38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13</v>
      </c>
      <c r="BI48" s="173" t="str">
        <f t="shared" ca="1" si="9"/>
        <v>BKH</v>
      </c>
    </row>
    <row r="49" spans="1:61" ht="13.8" x14ac:dyDescent="0.25">
      <c r="A49" s="223" t="s">
        <v>270</v>
      </c>
      <c r="B49" s="224" t="s">
        <v>147</v>
      </c>
      <c r="C49" s="224">
        <v>17</v>
      </c>
      <c r="D49" s="224" t="s">
        <v>271</v>
      </c>
      <c r="E49" s="225" t="str">
        <f t="shared" ca="1" si="0"/>
        <v>R</v>
      </c>
      <c r="F49" s="347"/>
      <c r="G49" s="348">
        <f t="shared" ca="1" si="1"/>
        <v>23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48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294</v>
      </c>
      <c r="AR49" s="207" t="s">
        <v>146</v>
      </c>
      <c r="AS49" s="207">
        <v>14</v>
      </c>
      <c r="AT49" s="207" t="s">
        <v>295</v>
      </c>
      <c r="AV49" s="168">
        <f t="shared" si="21"/>
        <v>23</v>
      </c>
      <c r="AW49" s="168">
        <f>COUNTIF( AV$7:AV49, AV49 )</f>
        <v>17</v>
      </c>
      <c r="AX49" s="208">
        <f t="shared" si="22"/>
        <v>24.7</v>
      </c>
      <c r="AY49" s="168">
        <f t="shared" si="23"/>
        <v>39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13</v>
      </c>
      <c r="BI49" s="173" t="str">
        <f t="shared" ca="1" si="9"/>
        <v>EIX</v>
      </c>
    </row>
    <row r="50" spans="1:61" ht="13.8" x14ac:dyDescent="0.2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0"/>
        <v>MR</v>
      </c>
      <c r="F50" s="347"/>
      <c r="G50" s="348">
        <f t="shared" ca="1" si="1"/>
        <v>28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310</v>
      </c>
      <c r="AR50" s="207" t="s">
        <v>178</v>
      </c>
      <c r="AS50" s="207">
        <v>12</v>
      </c>
      <c r="AT50" s="207" t="s">
        <v>311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25"/>
        <v>FirstEnergy Corp.</v>
      </c>
      <c r="BG50" s="173" t="str">
        <f t="shared" ca="1" si="9"/>
        <v>BBB-</v>
      </c>
      <c r="BH50" s="173">
        <f t="shared" ca="1" si="9"/>
        <v>13</v>
      </c>
      <c r="BI50" s="173" t="str">
        <f t="shared" ca="1" si="9"/>
        <v>FE</v>
      </c>
    </row>
    <row r="51" spans="1:61" ht="13.8" x14ac:dyDescent="0.2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0"/>
        <v>D</v>
      </c>
      <c r="F51" s="347"/>
      <c r="G51" s="348">
        <f t="shared" ca="1" si="1"/>
        <v>30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357</v>
      </c>
      <c r="AR51" s="207" t="s">
        <v>145</v>
      </c>
      <c r="AS51" s="207">
        <v>15</v>
      </c>
      <c r="AT51" s="207" t="s">
        <v>358</v>
      </c>
      <c r="AV51" s="168">
        <f t="shared" si="21"/>
        <v>11</v>
      </c>
      <c r="AW51" s="168">
        <f>COUNTIF( AV$7:AV51, AV51 )</f>
        <v>10</v>
      </c>
      <c r="AX51" s="208">
        <f t="shared" si="22"/>
        <v>12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25"/>
        <v>Hawaiian Electric Industries, Inc.</v>
      </c>
      <c r="BG51" s="173" t="str">
        <f t="shared" ca="1" si="9"/>
        <v>BBB-</v>
      </c>
      <c r="BH51" s="173">
        <f t="shared" ca="1" si="9"/>
        <v>13</v>
      </c>
      <c r="BI51" s="173" t="str">
        <f t="shared" ca="1" si="9"/>
        <v>HE</v>
      </c>
    </row>
    <row r="52" spans="1:61" ht="13.8" x14ac:dyDescent="0.2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0"/>
        <v>R</v>
      </c>
      <c r="F52" s="347"/>
      <c r="G52" s="348">
        <f t="shared" ca="1" si="1"/>
        <v>66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296</v>
      </c>
      <c r="AR52" s="207" t="s">
        <v>145</v>
      </c>
      <c r="AS52" s="207">
        <v>15</v>
      </c>
      <c r="AT52" s="207" t="s">
        <v>297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25"/>
        <v>IPALCO Enterprises, Inc.</v>
      </c>
      <c r="BG52" s="173" t="str">
        <f t="shared" ca="1" si="9"/>
        <v>BBB-</v>
      </c>
      <c r="BH52" s="173">
        <f t="shared" ca="1" si="9"/>
        <v>13</v>
      </c>
      <c r="BI52" s="173" t="str">
        <f t="shared" ca="1" si="9"/>
        <v>**IPALCO</v>
      </c>
    </row>
    <row r="53" spans="1:61" ht="13.8" x14ac:dyDescent="0.25">
      <c r="A53" s="223" t="s">
        <v>278</v>
      </c>
      <c r="B53" s="224" t="s">
        <v>147</v>
      </c>
      <c r="C53" s="224">
        <v>17</v>
      </c>
      <c r="D53" s="224" t="s">
        <v>279</v>
      </c>
      <c r="E53" s="225" t="str">
        <f t="shared" ca="1" si="0"/>
        <v>MR</v>
      </c>
      <c r="F53" s="347"/>
      <c r="G53" s="348">
        <f t="shared" ca="1" si="1"/>
        <v>36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298</v>
      </c>
      <c r="AR53" s="207" t="s">
        <v>171</v>
      </c>
      <c r="AS53" s="207">
        <v>17</v>
      </c>
      <c r="AT53" s="207" t="s">
        <v>299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25"/>
        <v>NiSource Inc.</v>
      </c>
      <c r="BG53" s="173" t="str">
        <f t="shared" ca="1" si="9"/>
        <v>BBB-</v>
      </c>
      <c r="BH53" s="173">
        <f t="shared" ca="1" si="9"/>
        <v>13</v>
      </c>
      <c r="BI53" s="173" t="str">
        <f t="shared" ca="1" si="9"/>
        <v>NI</v>
      </c>
    </row>
    <row r="54" spans="1:61" ht="13.8" x14ac:dyDescent="0.25">
      <c r="A54" s="223" t="s">
        <v>421</v>
      </c>
      <c r="B54" s="224" t="s">
        <v>147</v>
      </c>
      <c r="C54" s="224">
        <v>17</v>
      </c>
      <c r="D54" s="224" t="s">
        <v>422</v>
      </c>
      <c r="E54" s="225" t="str">
        <f t="shared" ca="1" si="0"/>
        <v>R</v>
      </c>
      <c r="F54" s="347"/>
      <c r="G54" s="348">
        <f t="shared" ca="1" si="1"/>
        <v>40</v>
      </c>
      <c r="H54" s="349"/>
      <c r="I54" s="349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9"/>
        <v/>
      </c>
      <c r="AJ54" s="169">
        <f t="shared" ca="1" si="4"/>
        <v>56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5"/>
        <v>Change</v>
      </c>
      <c r="AQ54" s="207" t="s">
        <v>379</v>
      </c>
      <c r="AR54" s="207" t="s">
        <v>145</v>
      </c>
      <c r="AS54" s="207">
        <v>15</v>
      </c>
      <c r="AT54" s="207" t="s">
        <v>385</v>
      </c>
      <c r="AV54" s="168">
        <f t="shared" si="21"/>
        <v>11</v>
      </c>
      <c r="AW54" s="168">
        <f>COUNTIF( AV$7:AV54, AV54 )</f>
        <v>12</v>
      </c>
      <c r="AX54" s="208">
        <f t="shared" si="22"/>
        <v>12.2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34</v>
      </c>
      <c r="BF54" s="173" t="str">
        <f t="shared" ca="1" si="25"/>
        <v>NV Energy, Inc.</v>
      </c>
      <c r="BG54" s="173" t="str">
        <f t="shared" ca="1" si="9"/>
        <v>BBB-</v>
      </c>
      <c r="BH54" s="173">
        <f t="shared" ca="1" si="9"/>
        <v>13</v>
      </c>
      <c r="BI54" s="173" t="str">
        <f t="shared" ca="1" si="9"/>
        <v>NVE</v>
      </c>
    </row>
    <row r="55" spans="1:61" ht="13.8" x14ac:dyDescent="0.25">
      <c r="A55" s="223" t="s">
        <v>304</v>
      </c>
      <c r="B55" s="224" t="s">
        <v>147</v>
      </c>
      <c r="C55" s="224">
        <v>17</v>
      </c>
      <c r="D55" s="224" t="s">
        <v>305</v>
      </c>
      <c r="E55" s="225" t="str">
        <f t="shared" ca="1" si="0"/>
        <v>MR</v>
      </c>
      <c r="F55" s="347"/>
      <c r="G55" s="348">
        <f t="shared" ca="1" si="1"/>
        <v>42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399</v>
      </c>
      <c r="AR55" s="207" t="s">
        <v>146</v>
      </c>
      <c r="AS55" s="207">
        <v>14</v>
      </c>
      <c r="AT55" s="207" t="s">
        <v>400</v>
      </c>
      <c r="AV55" s="168">
        <f t="shared" si="21"/>
        <v>23</v>
      </c>
      <c r="AW55" s="168">
        <f>COUNTIF( AV$7:AV55, AV55 )</f>
        <v>18</v>
      </c>
      <c r="AX55" s="208">
        <f t="shared" si="22"/>
        <v>24.8</v>
      </c>
      <c r="AY55" s="168">
        <f t="shared" si="23"/>
        <v>40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13</v>
      </c>
      <c r="BI55" s="173" t="str">
        <f t="shared" ca="1" si="9"/>
        <v>OTTR</v>
      </c>
    </row>
    <row r="56" spans="1:61" ht="13.8" x14ac:dyDescent="0.25">
      <c r="A56" s="223" t="s">
        <v>308</v>
      </c>
      <c r="B56" s="224" t="s">
        <v>147</v>
      </c>
      <c r="C56" s="224">
        <v>17</v>
      </c>
      <c r="D56" s="224" t="s">
        <v>309</v>
      </c>
      <c r="E56" s="225" t="str">
        <f t="shared" ca="1" si="0"/>
        <v>R</v>
      </c>
      <c r="F56" s="347"/>
      <c r="G56" s="348">
        <f t="shared" ca="1" si="1"/>
        <v>46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355</v>
      </c>
      <c r="AR56" s="207" t="s">
        <v>144</v>
      </c>
      <c r="AS56" s="207">
        <v>16</v>
      </c>
      <c r="AT56" s="207" t="s">
        <v>356</v>
      </c>
      <c r="AV56" s="168">
        <f t="shared" si="21"/>
        <v>2</v>
      </c>
      <c r="AW56" s="168">
        <f>COUNTIF( AV$7:AV56, AV56 )</f>
        <v>7</v>
      </c>
      <c r="AX56" s="208">
        <f t="shared" si="22"/>
        <v>2.7</v>
      </c>
      <c r="AY56" s="168">
        <f t="shared" si="23"/>
        <v>8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13</v>
      </c>
      <c r="BI56" s="173" t="str">
        <f t="shared" ca="1" si="9"/>
        <v>PNM</v>
      </c>
    </row>
    <row r="57" spans="1:61" ht="13.8" x14ac:dyDescent="0.25">
      <c r="A57" s="223" t="s">
        <v>310</v>
      </c>
      <c r="B57" s="224" t="s">
        <v>178</v>
      </c>
      <c r="C57" s="224">
        <v>16</v>
      </c>
      <c r="D57" s="224" t="s">
        <v>311</v>
      </c>
      <c r="E57" s="225" t="str">
        <f t="shared" ca="1" si="0"/>
        <v>R</v>
      </c>
      <c r="F57" s="347"/>
      <c r="G57" s="348">
        <f t="shared" ca="1" si="1"/>
        <v>68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364</v>
      </c>
      <c r="AR57" s="207" t="s">
        <v>146</v>
      </c>
      <c r="AS57" s="207">
        <v>14</v>
      </c>
      <c r="AT57" s="207" t="s">
        <v>365</v>
      </c>
      <c r="AV57" s="168">
        <f t="shared" si="21"/>
        <v>23</v>
      </c>
      <c r="AW57" s="168">
        <f>COUNTIF( AV$7:AV57, AV57 )</f>
        <v>19</v>
      </c>
      <c r="AX57" s="208">
        <f t="shared" si="22"/>
        <v>24.9</v>
      </c>
      <c r="AY57" s="168">
        <f t="shared" si="23"/>
        <v>41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12</v>
      </c>
      <c r="BI57" s="173" t="str">
        <f t="shared" ca="1" si="9"/>
        <v>**PSD</v>
      </c>
    </row>
    <row r="58" spans="1:61" ht="13.8" x14ac:dyDescent="0.2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0"/>
        <v>R</v>
      </c>
      <c r="F58" s="347"/>
      <c r="G58" s="348">
        <f t="shared" ca="1" si="1"/>
        <v>64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252</v>
      </c>
      <c r="AR58" s="207" t="s">
        <v>144</v>
      </c>
      <c r="AS58" s="207">
        <v>16</v>
      </c>
      <c r="AT58" s="207" t="s">
        <v>253</v>
      </c>
      <c r="AV58" s="168">
        <f t="shared" si="21"/>
        <v>2</v>
      </c>
      <c r="AW58" s="168">
        <f>COUNTIF( AV$7:AV58, AV58 )</f>
        <v>8</v>
      </c>
      <c r="AX58" s="208">
        <f t="shared" si="22"/>
        <v>2.8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11</v>
      </c>
      <c r="BI58" s="173" t="str">
        <f t="shared" ca="1" si="9"/>
        <v>**DPL</v>
      </c>
    </row>
    <row r="59" spans="1:61" ht="13.8" x14ac:dyDescent="0.25">
      <c r="A59" s="223" t="s">
        <v>381</v>
      </c>
      <c r="B59" s="224" t="s">
        <v>192</v>
      </c>
      <c r="C59" s="224">
        <v>9</v>
      </c>
      <c r="D59" s="224" t="s">
        <v>369</v>
      </c>
      <c r="E59" s="225" t="str">
        <f t="shared" ca="1" si="0"/>
        <v>D</v>
      </c>
      <c r="F59" s="347"/>
      <c r="G59" s="348">
        <f t="shared" ca="1" si="1"/>
        <v>65</v>
      </c>
      <c r="H59" s="349"/>
      <c r="I59" s="349"/>
      <c r="J59" s="191"/>
      <c r="K59" s="191"/>
      <c r="AF59" s="169">
        <f t="shared" si="2"/>
        <v>0</v>
      </c>
      <c r="AG59" s="169">
        <f t="shared" ca="1" si="3"/>
        <v>1</v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SD</v>
      </c>
      <c r="AL59" s="169">
        <f t="shared" ca="1" si="20"/>
        <v>2</v>
      </c>
      <c r="AM59" s="169" t="str">
        <f t="shared" ca="1" si="5"/>
        <v>Change</v>
      </c>
      <c r="AQ59" s="207" t="s">
        <v>256</v>
      </c>
      <c r="AR59" s="207" t="s">
        <v>144</v>
      </c>
      <c r="AS59" s="207">
        <v>16</v>
      </c>
      <c r="AT59" s="207" t="s">
        <v>257</v>
      </c>
      <c r="AV59" s="168">
        <f t="shared" si="21"/>
        <v>2</v>
      </c>
      <c r="AW59" s="168">
        <f>COUNTIF( AV$7:AV59, AV59 )</f>
        <v>9</v>
      </c>
      <c r="AX59" s="208">
        <f t="shared" si="22"/>
        <v>2.9</v>
      </c>
      <c r="AY59" s="168">
        <f t="shared" si="23"/>
        <v>10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5</v>
      </c>
      <c r="BI59" s="173" t="str">
        <f t="shared" ca="1" si="9"/>
        <v>**EFH</v>
      </c>
    </row>
    <row r="60" spans="1:61" ht="13.8" x14ac:dyDescent="0.25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" thickBot="1" x14ac:dyDescent="0.3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394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426</v>
      </c>
      <c r="B63" s="224" t="s">
        <v>171</v>
      </c>
      <c r="C63" s="224">
        <v>21</v>
      </c>
      <c r="D63" s="224" t="s">
        <v>427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8" x14ac:dyDescent="0.25">
      <c r="A64" s="223" t="s">
        <v>409</v>
      </c>
      <c r="B64" s="224" t="s">
        <v>178</v>
      </c>
      <c r="C64" s="224">
        <v>16</v>
      </c>
      <c r="D64" s="224" t="s">
        <v>410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 t="s">
        <v>411</v>
      </c>
      <c r="B65" s="229" t="s">
        <v>315</v>
      </c>
      <c r="C65" s="224" t="s">
        <v>315</v>
      </c>
      <c r="D65" s="224" t="s">
        <v>386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>Change</v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313</v>
      </c>
      <c r="AR66" s="207" t="s">
        <v>167</v>
      </c>
      <c r="AS66" s="207">
        <v>19</v>
      </c>
      <c r="AT66" s="207" t="s">
        <v>314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428</v>
      </c>
      <c r="AR67" s="207" t="s">
        <v>171</v>
      </c>
      <c r="AS67" s="207">
        <v>17</v>
      </c>
      <c r="AT67" s="207" t="s">
        <v>427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18.285714285714285</v>
      </c>
      <c r="D68" s="201"/>
      <c r="E68" s="201"/>
      <c r="F68" s="349"/>
      <c r="H68" s="349"/>
      <c r="I68" s="349"/>
      <c r="J68" s="350"/>
      <c r="K68" s="350"/>
      <c r="AQ68" s="207" t="s">
        <v>412</v>
      </c>
      <c r="AR68" s="207" t="s">
        <v>178</v>
      </c>
      <c r="AS68" s="207">
        <v>12</v>
      </c>
      <c r="AT68" s="207" t="s">
        <v>410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Q69" s="168" t="s">
        <v>300</v>
      </c>
      <c r="AR69" s="168" t="s">
        <v>315</v>
      </c>
      <c r="AS69" s="168" t="s">
        <v>315</v>
      </c>
      <c r="AT69" s="168" t="s">
        <v>386</v>
      </c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429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413</v>
      </c>
      <c r="D75" s="204"/>
      <c r="F75" s="206"/>
      <c r="H75" s="206"/>
      <c r="I75" s="206"/>
    </row>
    <row r="76" spans="1:58" x14ac:dyDescent="0.2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18.392857142857142</v>
      </c>
      <c r="E79" s="191"/>
      <c r="G79" s="352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-- 2012 Q4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8" hidden="1" outlineLevel="1" x14ac:dyDescent="0.25">
      <c r="A2" s="167"/>
      <c r="E2" s="171" t="str">
        <f>G2</f>
        <v>Reg_Percent_2011</v>
      </c>
      <c r="G2" s="172" t="s">
        <v>424</v>
      </c>
      <c r="AJ2" s="173" t="str">
        <f>AJ4 &amp; AJ3</f>
        <v>'Credit_2012Q3'!a:a</v>
      </c>
      <c r="AK2" s="173" t="str">
        <f>AK4 &amp; AK3</f>
        <v>'Credit_2012Q3'!b1</v>
      </c>
      <c r="AL2" s="173" t="str">
        <f>AL4 &amp; AL3</f>
        <v>'Credit_2012Q3'!c1</v>
      </c>
    </row>
    <row r="3" spans="1:61" ht="18" hidden="1" outlineLevel="1" x14ac:dyDescent="0.2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430</v>
      </c>
      <c r="AK4" s="169" t="str">
        <f>AJ4</f>
        <v>'Credit_2012Q3'!</v>
      </c>
      <c r="AL4" s="169" t="str">
        <f>AK4</f>
        <v>'Credit_2012Q3'!</v>
      </c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(56)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(3)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217</v>
      </c>
      <c r="B6" s="220" t="s">
        <v>51</v>
      </c>
      <c r="C6" s="249" t="s">
        <v>219</v>
      </c>
      <c r="D6" s="221"/>
      <c r="E6" s="222">
        <v>40908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38" ca="1" si="0">OFFSET( INDIRECT( E$3 &amp; E$4 ), $G7 - 1, 0 )</f>
        <v>R</v>
      </c>
      <c r="F7" s="347"/>
      <c r="G7" s="348">
        <f t="shared" ref="G7:G38" ca="1" si="1">IF( LEN( $D7 ) = 0, "", MATCH( $D7, INDIRECT( G$3 &amp; G$4 ), 0 ) )</f>
        <v>53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38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38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38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232</v>
      </c>
      <c r="B8" s="224" t="s">
        <v>144</v>
      </c>
      <c r="C8" s="224">
        <v>20</v>
      </c>
      <c r="D8" s="224" t="s">
        <v>233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142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224</v>
      </c>
      <c r="AR8" s="207" t="s">
        <v>145</v>
      </c>
      <c r="AS8" s="207">
        <v>19</v>
      </c>
      <c r="AT8" s="207" t="s">
        <v>225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8" x14ac:dyDescent="0.25">
      <c r="A9" s="223" t="s">
        <v>371</v>
      </c>
      <c r="B9" s="224" t="s">
        <v>144</v>
      </c>
      <c r="C9" s="224">
        <v>20</v>
      </c>
      <c r="D9" s="224" t="s">
        <v>199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144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8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147</v>
      </c>
      <c r="AS9" s="207">
        <v>17</v>
      </c>
      <c r="AT9" s="207" t="s">
        <v>231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8" x14ac:dyDescent="0.25">
      <c r="A10" s="223" t="s">
        <v>405</v>
      </c>
      <c r="B10" s="224" t="s">
        <v>144</v>
      </c>
      <c r="C10" s="224">
        <v>20</v>
      </c>
      <c r="D10" s="224" t="s">
        <v>406</v>
      </c>
      <c r="E10" s="225" t="str">
        <f t="shared" ca="1" si="0"/>
        <v>R</v>
      </c>
      <c r="F10" s="347"/>
      <c r="G10" s="348">
        <f t="shared" ca="1" si="1"/>
        <v>32</v>
      </c>
      <c r="H10" s="349"/>
      <c r="I10" s="234"/>
      <c r="J10" s="215" t="s">
        <v>145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ht="13.8" x14ac:dyDescent="0.25">
      <c r="A11" s="223" t="s">
        <v>245</v>
      </c>
      <c r="B11" s="224" t="s">
        <v>144</v>
      </c>
      <c r="C11" s="224">
        <v>20</v>
      </c>
      <c r="D11" s="224" t="s">
        <v>246</v>
      </c>
      <c r="E11" s="225" t="str">
        <f t="shared" ca="1" si="0"/>
        <v>MR</v>
      </c>
      <c r="F11" s="347"/>
      <c r="G11" s="348">
        <f t="shared" ca="1" si="1"/>
        <v>35</v>
      </c>
      <c r="H11" s="349"/>
      <c r="I11" s="234"/>
      <c r="J11" s="215" t="s">
        <v>146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ht="13.8" x14ac:dyDescent="0.25">
      <c r="A12" s="223" t="s">
        <v>404</v>
      </c>
      <c r="B12" s="224" t="s">
        <v>144</v>
      </c>
      <c r="C12" s="224">
        <v>20</v>
      </c>
      <c r="D12" s="224" t="s">
        <v>241</v>
      </c>
      <c r="E12" s="225" t="str">
        <f t="shared" ca="1" si="0"/>
        <v>R</v>
      </c>
      <c r="F12" s="347"/>
      <c r="G12" s="348">
        <f t="shared" ca="1" si="1"/>
        <v>37</v>
      </c>
      <c r="H12" s="349"/>
      <c r="I12" s="234"/>
      <c r="J12" s="215" t="s">
        <v>147</v>
      </c>
      <c r="K12" s="234"/>
      <c r="L12" s="215">
        <f t="shared" si="10"/>
        <v>11</v>
      </c>
      <c r="M12" s="216">
        <f t="shared" si="11"/>
        <v>0.19642857142857142</v>
      </c>
      <c r="N12" s="234"/>
      <c r="O12" s="215">
        <f t="shared" ca="1" si="12"/>
        <v>6</v>
      </c>
      <c r="P12" s="216">
        <f t="shared" ca="1" si="13"/>
        <v>0.16666666666666666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ht="13.8" x14ac:dyDescent="0.25">
      <c r="A13" s="223" t="s">
        <v>355</v>
      </c>
      <c r="B13" s="224" t="s">
        <v>144</v>
      </c>
      <c r="C13" s="224">
        <v>20</v>
      </c>
      <c r="D13" s="224" t="s">
        <v>356</v>
      </c>
      <c r="E13" s="225" t="str">
        <f t="shared" ca="1" si="0"/>
        <v>R</v>
      </c>
      <c r="F13" s="347"/>
      <c r="G13" s="348">
        <f t="shared" ca="1" si="1"/>
        <v>58</v>
      </c>
      <c r="H13" s="349"/>
      <c r="I13" s="235"/>
      <c r="J13" s="217" t="s">
        <v>148</v>
      </c>
      <c r="K13" s="235"/>
      <c r="L13" s="217">
        <f t="shared" si="10"/>
        <v>5</v>
      </c>
      <c r="M13" s="218">
        <f t="shared" si="11"/>
        <v>8.9285714285714288E-2</v>
      </c>
      <c r="N13" s="235"/>
      <c r="O13" s="217">
        <f t="shared" ca="1" si="12"/>
        <v>4</v>
      </c>
      <c r="P13" s="218">
        <f t="shared" ca="1" si="13"/>
        <v>0.1111111111111111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254</v>
      </c>
      <c r="AR13" s="207" t="s">
        <v>145</v>
      </c>
      <c r="AS13" s="207">
        <v>19</v>
      </c>
      <c r="AT13" s="207" t="s">
        <v>255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ht="13.8" x14ac:dyDescent="0.25">
      <c r="A14" s="223" t="s">
        <v>252</v>
      </c>
      <c r="B14" s="224" t="s">
        <v>144</v>
      </c>
      <c r="C14" s="224">
        <v>20</v>
      </c>
      <c r="D14" s="224" t="s">
        <v>253</v>
      </c>
      <c r="E14" s="225" t="str">
        <f t="shared" ca="1" si="0"/>
        <v>R</v>
      </c>
      <c r="F14" s="347"/>
      <c r="G14" s="348">
        <f t="shared" ca="1" si="1"/>
        <v>60</v>
      </c>
      <c r="H14" s="349"/>
      <c r="I14" s="236"/>
      <c r="J14" s="211" t="s">
        <v>149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18.303571428571427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388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ht="13.8" x14ac:dyDescent="0.25">
      <c r="A15" s="223" t="s">
        <v>256</v>
      </c>
      <c r="B15" s="224" t="s">
        <v>144</v>
      </c>
      <c r="C15" s="224">
        <v>20</v>
      </c>
      <c r="D15" s="224" t="s">
        <v>257</v>
      </c>
      <c r="E15" s="225" t="str">
        <f t="shared" ca="1" si="0"/>
        <v>R</v>
      </c>
      <c r="F15" s="347"/>
      <c r="G15" s="348">
        <f t="shared" ca="1" si="1"/>
        <v>61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147</v>
      </c>
      <c r="AS15" s="207">
        <v>17</v>
      </c>
      <c r="AT15" s="207" t="s">
        <v>262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ht="13.8" x14ac:dyDescent="0.25">
      <c r="A16" s="223" t="s">
        <v>222</v>
      </c>
      <c r="B16" s="224" t="s">
        <v>145</v>
      </c>
      <c r="C16" s="224">
        <v>19</v>
      </c>
      <c r="D16" s="224" t="s">
        <v>223</v>
      </c>
      <c r="E16" s="225" t="str">
        <f t="shared" ca="1" si="0"/>
        <v>R</v>
      </c>
      <c r="F16" s="347"/>
      <c r="G16" s="348">
        <f t="shared" ca="1" si="1"/>
        <v>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18.071428571428573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18.222222222222221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18.705882352941178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12.666666666666666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ht="13.8" x14ac:dyDescent="0.25">
      <c r="A17" s="223" t="s">
        <v>224</v>
      </c>
      <c r="B17" s="224" t="s">
        <v>145</v>
      </c>
      <c r="C17" s="224">
        <v>19</v>
      </c>
      <c r="D17" s="224" t="s">
        <v>225</v>
      </c>
      <c r="E17" s="225" t="str">
        <f t="shared" ca="1" si="0"/>
        <v>R</v>
      </c>
      <c r="F17" s="347"/>
      <c r="G17" s="348">
        <f t="shared" ca="1" si="1"/>
        <v>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17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371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ht="13.8" x14ac:dyDescent="0.25">
      <c r="A18" s="223" t="s">
        <v>254</v>
      </c>
      <c r="B18" s="224" t="s">
        <v>145</v>
      </c>
      <c r="C18" s="224">
        <v>19</v>
      </c>
      <c r="D18" s="224" t="s">
        <v>255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180</v>
      </c>
      <c r="AS18" s="207">
        <v>15</v>
      </c>
      <c r="AT18" s="207" t="s">
        <v>265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ht="13.8" x14ac:dyDescent="0.25">
      <c r="A19" s="223" t="s">
        <v>266</v>
      </c>
      <c r="B19" s="224" t="s">
        <v>145</v>
      </c>
      <c r="C19" s="224">
        <v>19</v>
      </c>
      <c r="D19" s="224" t="s">
        <v>267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ht="13.8" x14ac:dyDescent="0.25">
      <c r="A20" s="223" t="s">
        <v>268</v>
      </c>
      <c r="B20" s="224" t="s">
        <v>145</v>
      </c>
      <c r="C20" s="224">
        <v>19</v>
      </c>
      <c r="D20" s="224" t="s">
        <v>269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ht="13.8" x14ac:dyDescent="0.25">
      <c r="A21" s="223" t="s">
        <v>276</v>
      </c>
      <c r="B21" s="224" t="s">
        <v>145</v>
      </c>
      <c r="C21" s="224">
        <v>19</v>
      </c>
      <c r="D21" s="224" t="s">
        <v>277</v>
      </c>
      <c r="E21" s="225" t="str">
        <f t="shared" ca="1" si="0"/>
        <v>D</v>
      </c>
      <c r="F21" s="347"/>
      <c r="G21" s="348">
        <f t="shared" ca="1" si="1"/>
        <v>33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22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39</v>
      </c>
      <c r="AW21" s="168">
        <f>COUNTIF( AV$7:AV21, AV21 )</f>
        <v>4</v>
      </c>
      <c r="AX21" s="208">
        <f t="shared" si="22"/>
        <v>39.4</v>
      </c>
      <c r="AY21" s="168">
        <f t="shared" si="23"/>
        <v>42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MDU</v>
      </c>
    </row>
    <row r="22" spans="1:61" ht="13.8" x14ac:dyDescent="0.25">
      <c r="A22" s="223" t="s">
        <v>418</v>
      </c>
      <c r="B22" s="224" t="s">
        <v>145</v>
      </c>
      <c r="C22" s="224">
        <v>19</v>
      </c>
      <c r="D22" s="224" t="s">
        <v>221</v>
      </c>
      <c r="E22" s="225" t="str">
        <f t="shared" ca="1" si="0"/>
        <v>MR</v>
      </c>
      <c r="F22" s="347"/>
      <c r="G22" s="348">
        <f t="shared" ca="1" si="1"/>
        <v>67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338</v>
      </c>
      <c r="AR22" s="207" t="s">
        <v>146</v>
      </c>
      <c r="AS22" s="207">
        <v>18</v>
      </c>
      <c r="AT22" s="207" t="s">
        <v>341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**BRK</v>
      </c>
    </row>
    <row r="23" spans="1:61" ht="13.8" x14ac:dyDescent="0.25">
      <c r="A23" s="223" t="s">
        <v>282</v>
      </c>
      <c r="B23" s="224" t="s">
        <v>145</v>
      </c>
      <c r="C23" s="224">
        <v>19</v>
      </c>
      <c r="D23" s="224" t="s">
        <v>283</v>
      </c>
      <c r="E23" s="225" t="str">
        <f t="shared" ca="1" si="0"/>
        <v>MR</v>
      </c>
      <c r="F23" s="347"/>
      <c r="G23" s="348">
        <f t="shared" ca="1" si="1"/>
        <v>41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377</v>
      </c>
      <c r="AR23" s="207" t="s">
        <v>147</v>
      </c>
      <c r="AS23" s="207">
        <v>17</v>
      </c>
      <c r="AT23" s="207" t="s">
        <v>378</v>
      </c>
      <c r="AV23" s="168">
        <f t="shared" si="21"/>
        <v>39</v>
      </c>
      <c r="AW23" s="168">
        <f>COUNTIF( AV$7:AV23, AV23 )</f>
        <v>5</v>
      </c>
      <c r="AX23" s="208">
        <f t="shared" si="22"/>
        <v>39.5</v>
      </c>
      <c r="AY23" s="168">
        <f t="shared" si="23"/>
        <v>43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OGE</v>
      </c>
    </row>
    <row r="24" spans="1:61" ht="13.8" x14ac:dyDescent="0.25">
      <c r="A24" s="223" t="s">
        <v>392</v>
      </c>
      <c r="B24" s="224" t="s">
        <v>145</v>
      </c>
      <c r="C24" s="224">
        <v>19</v>
      </c>
      <c r="D24" s="224" t="s">
        <v>393</v>
      </c>
      <c r="E24" s="225" t="str">
        <f t="shared" ca="1" si="0"/>
        <v>MR</v>
      </c>
      <c r="F24" s="347"/>
      <c r="G24" s="348">
        <f t="shared" ca="1" si="1"/>
        <v>43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381</v>
      </c>
      <c r="AR24" s="207" t="s">
        <v>431</v>
      </c>
      <c r="AS24" s="207">
        <v>2</v>
      </c>
      <c r="AT24" s="207" t="s">
        <v>369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ht="13.8" x14ac:dyDescent="0.25">
      <c r="A25" s="223" t="s">
        <v>286</v>
      </c>
      <c r="B25" s="224" t="s">
        <v>145</v>
      </c>
      <c r="C25" s="224">
        <v>19</v>
      </c>
      <c r="D25" s="224" t="s">
        <v>287</v>
      </c>
      <c r="E25" s="225" t="str">
        <f t="shared" ca="1" si="0"/>
        <v>R</v>
      </c>
      <c r="F25" s="347"/>
      <c r="G25" s="348">
        <f t="shared" ca="1" si="1"/>
        <v>45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>
        <f t="shared" ca="1" si="3"/>
        <v>1</v>
      </c>
      <c r="AH25" s="169" t="str">
        <f t="shared" ca="1" si="19"/>
        <v/>
      </c>
      <c r="AJ25" s="169">
        <f t="shared" ca="1" si="4"/>
        <v>39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5"/>
        <v>Change</v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ht="13.8" x14ac:dyDescent="0.25">
      <c r="A26" s="223" t="s">
        <v>357</v>
      </c>
      <c r="B26" s="224" t="s">
        <v>145</v>
      </c>
      <c r="C26" s="224">
        <v>19</v>
      </c>
      <c r="D26" s="224" t="s">
        <v>358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ht="13.8" x14ac:dyDescent="0.25">
      <c r="A27" s="223" t="s">
        <v>296</v>
      </c>
      <c r="B27" s="224" t="s">
        <v>145</v>
      </c>
      <c r="C27" s="224">
        <v>19</v>
      </c>
      <c r="D27" s="224" t="s">
        <v>297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39</v>
      </c>
      <c r="AW27" s="168">
        <f>COUNTIF( AV$7:AV27, AV27 )</f>
        <v>6</v>
      </c>
      <c r="AX27" s="208">
        <f t="shared" si="22"/>
        <v>39.6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ht="13.8" x14ac:dyDescent="0.25">
      <c r="A28" s="223" t="s">
        <v>379</v>
      </c>
      <c r="B28" s="224" t="s">
        <v>145</v>
      </c>
      <c r="C28" s="224">
        <v>19</v>
      </c>
      <c r="D28" s="224" t="s">
        <v>385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362</v>
      </c>
      <c r="AR28" s="207" t="s">
        <v>146</v>
      </c>
      <c r="AS28" s="207">
        <v>18</v>
      </c>
      <c r="AT28" s="207" t="s">
        <v>363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ht="13.8" x14ac:dyDescent="0.25">
      <c r="A29" s="223" t="s">
        <v>227</v>
      </c>
      <c r="B29" s="224" t="s">
        <v>146</v>
      </c>
      <c r="C29" s="224">
        <v>18</v>
      </c>
      <c r="D29" s="224" t="s">
        <v>228</v>
      </c>
      <c r="E29" s="225" t="str">
        <f t="shared" ca="1" si="0"/>
        <v>R</v>
      </c>
      <c r="F29" s="347"/>
      <c r="G29" s="348">
        <f t="shared" ca="1" si="1"/>
        <v>10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39</v>
      </c>
      <c r="AW29" s="168">
        <f>COUNTIF( AV$7:AV29, AV29 )</f>
        <v>7</v>
      </c>
      <c r="AX29" s="208">
        <f t="shared" si="22"/>
        <v>39.700000000000003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ht="13.8" x14ac:dyDescent="0.25">
      <c r="A30" s="223" t="s">
        <v>243</v>
      </c>
      <c r="B30" s="224" t="s">
        <v>146</v>
      </c>
      <c r="C30" s="224">
        <v>18</v>
      </c>
      <c r="D30" s="224" t="s">
        <v>244</v>
      </c>
      <c r="E30" s="225" t="str">
        <f t="shared" ca="1" si="0"/>
        <v>R</v>
      </c>
      <c r="F30" s="347"/>
      <c r="G30" s="348">
        <f t="shared" ca="1" si="1"/>
        <v>11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397</v>
      </c>
      <c r="AR30" s="207" t="s">
        <v>146</v>
      </c>
      <c r="AS30" s="207">
        <v>18</v>
      </c>
      <c r="AT30" s="207" t="s">
        <v>398</v>
      </c>
      <c r="AV30" s="168">
        <f t="shared" si="21"/>
        <v>23</v>
      </c>
      <c r="AW30" s="168">
        <f>COUNTIF( AV$7:AV30, AV30 )</f>
        <v>8</v>
      </c>
      <c r="AX30" s="208">
        <f t="shared" si="22"/>
        <v>23.8</v>
      </c>
      <c r="AY30" s="168">
        <f t="shared" si="23"/>
        <v>30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ht="13.8" x14ac:dyDescent="0.25">
      <c r="A31" s="223" t="s">
        <v>259</v>
      </c>
      <c r="B31" s="224" t="s">
        <v>146</v>
      </c>
      <c r="C31" s="224">
        <v>18</v>
      </c>
      <c r="D31" s="224" t="s">
        <v>388</v>
      </c>
      <c r="E31" s="225" t="str">
        <f t="shared" ca="1" si="0"/>
        <v>R</v>
      </c>
      <c r="F31" s="347"/>
      <c r="G31" s="348">
        <f t="shared" ca="1" si="1"/>
        <v>16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23</v>
      </c>
      <c r="AW31" s="168">
        <f>COUNTIF( AV$7:AV31, AV31 )</f>
        <v>9</v>
      </c>
      <c r="AX31" s="208">
        <f t="shared" si="22"/>
        <v>23.9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ht="13.8" x14ac:dyDescent="0.25">
      <c r="A32" s="223" t="s">
        <v>338</v>
      </c>
      <c r="B32" s="224" t="s">
        <v>146</v>
      </c>
      <c r="C32" s="224">
        <v>18</v>
      </c>
      <c r="D32" s="224" t="s">
        <v>341</v>
      </c>
      <c r="E32" s="225" t="str">
        <f t="shared" ca="1" si="0"/>
        <v>R</v>
      </c>
      <c r="F32" s="347"/>
      <c r="G32" s="348">
        <f t="shared" ca="1" si="1"/>
        <v>24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ht="13.8" x14ac:dyDescent="0.25">
      <c r="A33" s="223" t="s">
        <v>397</v>
      </c>
      <c r="B33" s="224" t="s">
        <v>146</v>
      </c>
      <c r="C33" s="224">
        <v>18</v>
      </c>
      <c r="D33" s="224" t="s">
        <v>398</v>
      </c>
      <c r="E33" s="225" t="str">
        <f t="shared" ca="1" si="0"/>
        <v>R</v>
      </c>
      <c r="F33" s="347"/>
      <c r="G33" s="348">
        <f t="shared" ca="1" si="1"/>
        <v>63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9"/>
        <v>1</v>
      </c>
      <c r="AJ33" s="169">
        <f t="shared" ca="1" si="4"/>
        <v>21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5"/>
        <v>Change</v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39</v>
      </c>
      <c r="AW33" s="168">
        <f>COUNTIF( AV$7:AV33, AV33 )</f>
        <v>8</v>
      </c>
      <c r="AX33" s="208">
        <f t="shared" si="22"/>
        <v>39.799999999999997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ht="13.8" x14ac:dyDescent="0.25">
      <c r="A34" s="223" t="s">
        <v>272</v>
      </c>
      <c r="B34" s="224" t="s">
        <v>146</v>
      </c>
      <c r="C34" s="224">
        <v>18</v>
      </c>
      <c r="D34" s="224" t="s">
        <v>273</v>
      </c>
      <c r="E34" s="225" t="str">
        <f t="shared" ca="1" si="0"/>
        <v>R</v>
      </c>
      <c r="F34" s="347"/>
      <c r="G34" s="348">
        <f t="shared" ca="1" si="1"/>
        <v>26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10</v>
      </c>
      <c r="AW34" s="168">
        <f>COUNTIF( AV$7:AV34, AV34 )</f>
        <v>6</v>
      </c>
      <c r="AX34" s="208">
        <f t="shared" si="22"/>
        <v>10.6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ht="13.8" x14ac:dyDescent="0.25">
      <c r="A35" s="223" t="s">
        <v>274</v>
      </c>
      <c r="B35" s="224" t="s">
        <v>146</v>
      </c>
      <c r="C35" s="224">
        <v>18</v>
      </c>
      <c r="D35" s="224" t="s">
        <v>275</v>
      </c>
      <c r="E35" s="225" t="str">
        <f t="shared" ca="1" si="0"/>
        <v>MR</v>
      </c>
      <c r="F35" s="347"/>
      <c r="G35" s="348">
        <f t="shared" ca="1" si="1"/>
        <v>27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418</v>
      </c>
      <c r="AR35" s="207" t="s">
        <v>145</v>
      </c>
      <c r="AS35" s="207">
        <v>19</v>
      </c>
      <c r="AT35" s="207" t="s">
        <v>221</v>
      </c>
      <c r="AV35" s="168">
        <f t="shared" si="21"/>
        <v>10</v>
      </c>
      <c r="AW35" s="168">
        <f>COUNTIF( AV$7:AV35, AV35 )</f>
        <v>7</v>
      </c>
      <c r="AX35" s="208">
        <f t="shared" si="22"/>
        <v>10.7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ht="13.8" x14ac:dyDescent="0.25">
      <c r="A36" s="223" t="s">
        <v>362</v>
      </c>
      <c r="B36" s="224" t="s">
        <v>146</v>
      </c>
      <c r="C36" s="224">
        <v>18</v>
      </c>
      <c r="D36" s="224" t="s">
        <v>363</v>
      </c>
      <c r="E36" s="225" t="str">
        <f t="shared" ca="1" si="0"/>
        <v>R</v>
      </c>
      <c r="F36" s="347"/>
      <c r="G36" s="348">
        <f t="shared" ca="1" si="1"/>
        <v>29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24</v>
      </c>
      <c r="BF36" s="173" t="str">
        <f t="shared" ca="1" si="8"/>
        <v>Iberdrola USA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**EAST</v>
      </c>
    </row>
    <row r="37" spans="1:61" ht="13.8" x14ac:dyDescent="0.25">
      <c r="A37" s="223" t="s">
        <v>288</v>
      </c>
      <c r="B37" s="224" t="s">
        <v>146</v>
      </c>
      <c r="C37" s="224">
        <v>18</v>
      </c>
      <c r="D37" s="224" t="s">
        <v>289</v>
      </c>
      <c r="E37" s="225" t="str">
        <f t="shared" ca="1" si="0"/>
        <v>R</v>
      </c>
      <c r="F37" s="347"/>
      <c r="G37" s="348">
        <f t="shared" ca="1" si="1"/>
        <v>31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39</v>
      </c>
      <c r="AW37" s="168">
        <f>COUNTIF( AV$7:AV37, AV37 )</f>
        <v>9</v>
      </c>
      <c r="AX37" s="208">
        <f t="shared" si="22"/>
        <v>39.9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ht="13.8" x14ac:dyDescent="0.25">
      <c r="A38" s="223" t="s">
        <v>302</v>
      </c>
      <c r="B38" s="224" t="s">
        <v>146</v>
      </c>
      <c r="C38" s="224">
        <v>18</v>
      </c>
      <c r="D38" s="224" t="s">
        <v>303</v>
      </c>
      <c r="E38" s="225" t="str">
        <f t="shared" ca="1" si="0"/>
        <v>R</v>
      </c>
      <c r="F38" s="347"/>
      <c r="G38" s="348">
        <f t="shared" ca="1" si="1"/>
        <v>38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404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ht="13.8" x14ac:dyDescent="0.25">
      <c r="A39" s="223" t="s">
        <v>306</v>
      </c>
      <c r="B39" s="224" t="s">
        <v>146</v>
      </c>
      <c r="C39" s="224">
        <v>18</v>
      </c>
      <c r="D39" s="224" t="s">
        <v>307</v>
      </c>
      <c r="E39" s="225" t="str">
        <f t="shared" ref="E39:E59" ca="1" si="25">OFFSET( INDIRECT( E$3 &amp; E$4 ), $G39 - 1, 0 )</f>
        <v>R</v>
      </c>
      <c r="F39" s="347"/>
      <c r="G39" s="348">
        <f t="shared" ref="G39:G65" ca="1" si="26">IF( LEN( $D39 ) = 0, "", MATCH( $D39, INDIRECT( G$3 &amp; G$4 ), 0 ) )</f>
        <v>44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ref="AF39:AF67" si="27">IF( LEN( C39 ) = 0, 0, IF( C39 = C38, AF38, IF( AF38 = 1, 0, 1 ) ) )</f>
        <v>0</v>
      </c>
      <c r="AG39" s="169" t="str">
        <f t="shared" ca="1" si="3"/>
        <v/>
      </c>
      <c r="AH39" s="169" t="str">
        <f t="shared" ca="1" si="19"/>
        <v/>
      </c>
      <c r="AJ39" s="169">
        <f t="shared" ref="AJ39:AJ67" ca="1" si="28">MATCH( $A39, INDIRECT( AJ$2 ), 0 )</f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ref="AM39:AM67" ca="1" si="29">IF( B39 = AK39, "", "Change" )</f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23</v>
      </c>
      <c r="AW39" s="168">
        <f>COUNTIF( AV$7:AV39, AV39 )</f>
        <v>10</v>
      </c>
      <c r="AX39" s="208">
        <f t="shared" si="22"/>
        <v>24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30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ht="13.8" x14ac:dyDescent="0.25">
      <c r="A40" s="223" t="s">
        <v>290</v>
      </c>
      <c r="B40" s="224" t="s">
        <v>146</v>
      </c>
      <c r="C40" s="224">
        <v>18</v>
      </c>
      <c r="D40" s="224" t="s">
        <v>291</v>
      </c>
      <c r="E40" s="225" t="str">
        <f t="shared" ca="1" si="25"/>
        <v>R</v>
      </c>
      <c r="F40" s="347"/>
      <c r="G40" s="348">
        <f t="shared" ca="1" si="26"/>
        <v>47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7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8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29"/>
        <v/>
      </c>
      <c r="AQ40" s="207" t="s">
        <v>421</v>
      </c>
      <c r="AR40" s="207" t="s">
        <v>178</v>
      </c>
      <c r="AS40" s="207">
        <v>16</v>
      </c>
      <c r="AT40" s="207" t="s">
        <v>422</v>
      </c>
      <c r="AV40" s="168">
        <f t="shared" si="21"/>
        <v>50</v>
      </c>
      <c r="AW40" s="168">
        <f>COUNTIF( AV$7:AV40, AV40 )</f>
        <v>1</v>
      </c>
      <c r="AX40" s="208">
        <f t="shared" si="22"/>
        <v>50.1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30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ht="13.8" x14ac:dyDescent="0.25">
      <c r="A41" s="223" t="s">
        <v>248</v>
      </c>
      <c r="B41" s="224" t="s">
        <v>146</v>
      </c>
      <c r="C41" s="224">
        <v>18</v>
      </c>
      <c r="D41" s="224" t="s">
        <v>249</v>
      </c>
      <c r="E41" s="225" t="str">
        <f t="shared" ca="1" si="25"/>
        <v>MR</v>
      </c>
      <c r="F41" s="347"/>
      <c r="G41" s="348">
        <f t="shared" ca="1" si="26"/>
        <v>48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7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8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29"/>
        <v/>
      </c>
      <c r="AQ41" s="207" t="s">
        <v>282</v>
      </c>
      <c r="AR41" s="207" t="s">
        <v>145</v>
      </c>
      <c r="AS41" s="207">
        <v>19</v>
      </c>
      <c r="AT41" s="207" t="s">
        <v>283</v>
      </c>
      <c r="AV41" s="168">
        <f t="shared" si="21"/>
        <v>10</v>
      </c>
      <c r="AW41" s="168">
        <f>COUNTIF( AV$7:AV41, AV41 )</f>
        <v>8</v>
      </c>
      <c r="AX41" s="208">
        <f t="shared" si="22"/>
        <v>10.8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30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ht="13.8" x14ac:dyDescent="0.25">
      <c r="A42" s="223" t="s">
        <v>294</v>
      </c>
      <c r="B42" s="224" t="s">
        <v>146</v>
      </c>
      <c r="C42" s="224">
        <v>18</v>
      </c>
      <c r="D42" s="224" t="s">
        <v>295</v>
      </c>
      <c r="E42" s="225" t="str">
        <f t="shared" ca="1" si="25"/>
        <v>MR</v>
      </c>
      <c r="F42" s="347"/>
      <c r="G42" s="348">
        <f t="shared" ca="1" si="26"/>
        <v>50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7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8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29"/>
        <v/>
      </c>
      <c r="AQ42" s="207" t="s">
        <v>304</v>
      </c>
      <c r="AR42" s="207" t="s">
        <v>147</v>
      </c>
      <c r="AS42" s="207">
        <v>17</v>
      </c>
      <c r="AT42" s="207" t="s">
        <v>305</v>
      </c>
      <c r="AV42" s="168">
        <f t="shared" si="21"/>
        <v>39</v>
      </c>
      <c r="AW42" s="168">
        <f>COUNTIF( AV$7:AV42, AV42 )</f>
        <v>10</v>
      </c>
      <c r="AX42" s="208">
        <f t="shared" si="22"/>
        <v>40</v>
      </c>
      <c r="AY42" s="168">
        <f t="shared" si="23"/>
        <v>48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30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ht="13.8" x14ac:dyDescent="0.25">
      <c r="A43" s="223" t="s">
        <v>399</v>
      </c>
      <c r="B43" s="224" t="s">
        <v>146</v>
      </c>
      <c r="C43" s="224">
        <v>18</v>
      </c>
      <c r="D43" s="224" t="s">
        <v>400</v>
      </c>
      <c r="E43" s="225" t="str">
        <f t="shared" ca="1" si="25"/>
        <v>R</v>
      </c>
      <c r="F43" s="347"/>
      <c r="G43" s="348">
        <f t="shared" ca="1" si="26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7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8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29"/>
        <v/>
      </c>
      <c r="AQ43" s="207" t="s">
        <v>392</v>
      </c>
      <c r="AR43" s="207" t="s">
        <v>145</v>
      </c>
      <c r="AS43" s="207">
        <v>19</v>
      </c>
      <c r="AT43" s="207" t="s">
        <v>393</v>
      </c>
      <c r="AV43" s="168">
        <f t="shared" si="21"/>
        <v>10</v>
      </c>
      <c r="AW43" s="168">
        <f>COUNTIF( AV$7:AV43, AV43 )</f>
        <v>9</v>
      </c>
      <c r="AX43" s="208">
        <f t="shared" si="22"/>
        <v>10.9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30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ht="13.8" x14ac:dyDescent="0.25">
      <c r="A44" s="223" t="s">
        <v>364</v>
      </c>
      <c r="B44" s="224" t="s">
        <v>146</v>
      </c>
      <c r="C44" s="224">
        <v>18</v>
      </c>
      <c r="D44" s="224" t="s">
        <v>365</v>
      </c>
      <c r="E44" s="225" t="str">
        <f t="shared" ca="1" si="25"/>
        <v>R</v>
      </c>
      <c r="F44" s="347"/>
      <c r="G44" s="348">
        <f t="shared" ca="1" si="26"/>
        <v>59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7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8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29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1"/>
        <v>23</v>
      </c>
      <c r="AW44" s="168">
        <f>COUNTIF( AV$7:AV44, AV44 )</f>
        <v>11</v>
      </c>
      <c r="AX44" s="208">
        <f t="shared" si="22"/>
        <v>24.1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30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ht="13.8" x14ac:dyDescent="0.25">
      <c r="A45" s="223" t="s">
        <v>230</v>
      </c>
      <c r="B45" s="224" t="s">
        <v>147</v>
      </c>
      <c r="C45" s="224">
        <v>17</v>
      </c>
      <c r="D45" s="224" t="s">
        <v>231</v>
      </c>
      <c r="E45" s="225" t="str">
        <f t="shared" ca="1" si="25"/>
        <v>R</v>
      </c>
      <c r="F45" s="347"/>
      <c r="G45" s="348">
        <f t="shared" ca="1" si="26"/>
        <v>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7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8"/>
        <v>45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29"/>
        <v/>
      </c>
      <c r="AQ45" s="207" t="s">
        <v>286</v>
      </c>
      <c r="AR45" s="207" t="s">
        <v>145</v>
      </c>
      <c r="AS45" s="207">
        <v>19</v>
      </c>
      <c r="AT45" s="207" t="s">
        <v>287</v>
      </c>
      <c r="AV45" s="168">
        <f t="shared" si="21"/>
        <v>10</v>
      </c>
      <c r="AW45" s="168">
        <f>COUNTIF( AV$7:AV45, AV45 )</f>
        <v>10</v>
      </c>
      <c r="AX45" s="208">
        <f t="shared" si="22"/>
        <v>11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30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ht="13.8" x14ac:dyDescent="0.25">
      <c r="A46" s="223" t="s">
        <v>250</v>
      </c>
      <c r="B46" s="224" t="s">
        <v>147</v>
      </c>
      <c r="C46" s="224">
        <v>17</v>
      </c>
      <c r="D46" s="224" t="s">
        <v>251</v>
      </c>
      <c r="E46" s="225" t="str">
        <f t="shared" ca="1" si="25"/>
        <v>MR</v>
      </c>
      <c r="F46" s="347"/>
      <c r="G46" s="348">
        <f t="shared" ca="1" si="26"/>
        <v>12</v>
      </c>
      <c r="H46" s="349"/>
      <c r="I46" s="191"/>
      <c r="K46" s="191"/>
      <c r="N46" s="350"/>
      <c r="W46" s="191"/>
      <c r="AF46" s="169">
        <f t="shared" si="27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8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29"/>
        <v/>
      </c>
      <c r="AQ46" s="207" t="s">
        <v>308</v>
      </c>
      <c r="AR46" s="207" t="s">
        <v>147</v>
      </c>
      <c r="AS46" s="207">
        <v>17</v>
      </c>
      <c r="AT46" s="207" t="s">
        <v>309</v>
      </c>
      <c r="AV46" s="168">
        <f t="shared" si="21"/>
        <v>39</v>
      </c>
      <c r="AW46" s="168">
        <f>COUNTIF( AV$7:AV46, AV46 )</f>
        <v>11</v>
      </c>
      <c r="AX46" s="208">
        <f t="shared" si="22"/>
        <v>40.1</v>
      </c>
      <c r="AY46" s="168">
        <f t="shared" si="23"/>
        <v>49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30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ht="13.8" x14ac:dyDescent="0.25">
      <c r="A47" s="223" t="s">
        <v>261</v>
      </c>
      <c r="B47" s="224" t="s">
        <v>147</v>
      </c>
      <c r="C47" s="224">
        <v>17</v>
      </c>
      <c r="D47" s="224" t="s">
        <v>262</v>
      </c>
      <c r="E47" s="225" t="str">
        <f t="shared" ca="1" si="25"/>
        <v>R</v>
      </c>
      <c r="F47" s="347"/>
      <c r="G47" s="348">
        <f t="shared" ca="1" si="26"/>
        <v>17</v>
      </c>
      <c r="H47" s="349"/>
      <c r="I47" s="349"/>
      <c r="J47" s="187" t="s">
        <v>383</v>
      </c>
      <c r="K47" s="191"/>
      <c r="M47" s="350"/>
      <c r="N47" s="350"/>
      <c r="AF47" s="169">
        <f t="shared" si="27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8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29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30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ht="13.8" x14ac:dyDescent="0.25">
      <c r="A48" s="223" t="s">
        <v>270</v>
      </c>
      <c r="B48" s="224" t="s">
        <v>147</v>
      </c>
      <c r="C48" s="224">
        <v>17</v>
      </c>
      <c r="D48" s="224" t="s">
        <v>271</v>
      </c>
      <c r="E48" s="225" t="str">
        <f t="shared" ca="1" si="25"/>
        <v>R</v>
      </c>
      <c r="F48" s="347"/>
      <c r="G48" s="348">
        <f t="shared" ca="1" si="26"/>
        <v>23</v>
      </c>
      <c r="H48" s="349"/>
      <c r="I48" s="349"/>
      <c r="K48" s="191"/>
      <c r="M48" s="350"/>
      <c r="N48" s="350"/>
      <c r="AF48" s="169">
        <f t="shared" si="27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8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29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15</v>
      </c>
      <c r="BF48" s="173" t="str">
        <f t="shared" ca="1" si="30"/>
        <v>Edison International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EIX</v>
      </c>
    </row>
    <row r="49" spans="1:61" ht="13.8" x14ac:dyDescent="0.25">
      <c r="A49" s="223" t="s">
        <v>377</v>
      </c>
      <c r="B49" s="224" t="s">
        <v>147</v>
      </c>
      <c r="C49" s="224">
        <v>17</v>
      </c>
      <c r="D49" s="224" t="s">
        <v>378</v>
      </c>
      <c r="E49" s="225" t="str">
        <f t="shared" ca="1" si="25"/>
        <v>R</v>
      </c>
      <c r="F49" s="347"/>
      <c r="G49" s="348">
        <f t="shared" ca="1" si="26"/>
        <v>25</v>
      </c>
      <c r="H49" s="349"/>
      <c r="I49" s="349"/>
      <c r="J49" s="191"/>
      <c r="K49" s="191"/>
      <c r="M49" s="350"/>
      <c r="N49" s="350"/>
      <c r="AF49" s="169">
        <f t="shared" si="27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8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29"/>
        <v/>
      </c>
      <c r="AQ49" s="207" t="s">
        <v>294</v>
      </c>
      <c r="AR49" s="207" t="s">
        <v>146</v>
      </c>
      <c r="AS49" s="207">
        <v>18</v>
      </c>
      <c r="AT49" s="207" t="s">
        <v>295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17</v>
      </c>
      <c r="BF49" s="173" t="str">
        <f t="shared" ca="1" si="30"/>
        <v>Empire District Electric Company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EDE</v>
      </c>
    </row>
    <row r="50" spans="1:61" ht="13.8" x14ac:dyDescent="0.25">
      <c r="A50" s="223" t="s">
        <v>280</v>
      </c>
      <c r="B50" s="224" t="s">
        <v>147</v>
      </c>
      <c r="C50" s="224">
        <v>17</v>
      </c>
      <c r="D50" s="224" t="s">
        <v>281</v>
      </c>
      <c r="E50" s="225" t="str">
        <f t="shared" ca="1" si="25"/>
        <v>MR</v>
      </c>
      <c r="F50" s="347"/>
      <c r="G50" s="348">
        <f t="shared" ca="1" si="26"/>
        <v>28</v>
      </c>
      <c r="H50" s="349"/>
      <c r="I50" s="349"/>
      <c r="J50" s="191"/>
      <c r="K50" s="191"/>
      <c r="M50" s="350"/>
      <c r="N50" s="350"/>
      <c r="AF50" s="169">
        <f t="shared" si="27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28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29"/>
        <v/>
      </c>
      <c r="AQ50" s="207" t="s">
        <v>310</v>
      </c>
      <c r="AR50" s="207" t="s">
        <v>178</v>
      </c>
      <c r="AS50" s="207">
        <v>16</v>
      </c>
      <c r="AT50" s="207" t="s">
        <v>311</v>
      </c>
      <c r="AV50" s="168">
        <f t="shared" si="21"/>
        <v>50</v>
      </c>
      <c r="AW50" s="168">
        <f>COUNTIF( AV$7:AV50, AV50 )</f>
        <v>2</v>
      </c>
      <c r="AX50" s="208">
        <f t="shared" si="22"/>
        <v>50.2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30"/>
        <v>FirstEnergy Corp.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FE</v>
      </c>
    </row>
    <row r="51" spans="1:61" ht="13.8" x14ac:dyDescent="0.25">
      <c r="A51" s="223" t="s">
        <v>284</v>
      </c>
      <c r="B51" s="224" t="s">
        <v>147</v>
      </c>
      <c r="C51" s="224">
        <v>17</v>
      </c>
      <c r="D51" s="224" t="s">
        <v>285</v>
      </c>
      <c r="E51" s="225" t="str">
        <f t="shared" ca="1" si="25"/>
        <v>D</v>
      </c>
      <c r="F51" s="347"/>
      <c r="G51" s="348">
        <f t="shared" ca="1" si="26"/>
        <v>30</v>
      </c>
      <c r="H51" s="349"/>
      <c r="I51" s="349"/>
      <c r="J51" s="191"/>
      <c r="K51" s="191"/>
      <c r="M51" s="350"/>
      <c r="N51" s="350"/>
      <c r="AF51" s="169">
        <f t="shared" si="27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28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29"/>
        <v/>
      </c>
      <c r="AQ51" s="207" t="s">
        <v>357</v>
      </c>
      <c r="AR51" s="207" t="s">
        <v>145</v>
      </c>
      <c r="AS51" s="207">
        <v>19</v>
      </c>
      <c r="AT51" s="207" t="s">
        <v>358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30"/>
        <v>Hawaiian Electric Industries, Inc.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HE</v>
      </c>
    </row>
    <row r="52" spans="1:61" ht="13.8" x14ac:dyDescent="0.25">
      <c r="A52" s="223" t="s">
        <v>292</v>
      </c>
      <c r="B52" s="224" t="s">
        <v>147</v>
      </c>
      <c r="C52" s="224">
        <v>17</v>
      </c>
      <c r="D52" s="224" t="s">
        <v>293</v>
      </c>
      <c r="E52" s="225" t="str">
        <f t="shared" ca="1" si="25"/>
        <v>R</v>
      </c>
      <c r="F52" s="347"/>
      <c r="G52" s="348">
        <f t="shared" ca="1" si="26"/>
        <v>66</v>
      </c>
      <c r="H52" s="349"/>
      <c r="I52" s="349"/>
      <c r="J52" s="191"/>
      <c r="K52" s="191"/>
      <c r="AF52" s="169">
        <f t="shared" si="27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28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29"/>
        <v/>
      </c>
      <c r="AQ52" s="207" t="s">
        <v>296</v>
      </c>
      <c r="AR52" s="207" t="s">
        <v>145</v>
      </c>
      <c r="AS52" s="207">
        <v>19</v>
      </c>
      <c r="AT52" s="207" t="s">
        <v>297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30"/>
        <v>IPALCO Enterprises,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**IPALCO</v>
      </c>
    </row>
    <row r="53" spans="1:61" ht="13.8" x14ac:dyDescent="0.25">
      <c r="A53" s="223" t="s">
        <v>278</v>
      </c>
      <c r="B53" s="224" t="s">
        <v>147</v>
      </c>
      <c r="C53" s="224">
        <v>17</v>
      </c>
      <c r="D53" s="224" t="s">
        <v>279</v>
      </c>
      <c r="E53" s="225" t="str">
        <f t="shared" ca="1" si="25"/>
        <v>MR</v>
      </c>
      <c r="F53" s="347"/>
      <c r="G53" s="348">
        <f t="shared" ca="1" si="26"/>
        <v>36</v>
      </c>
      <c r="H53" s="349"/>
      <c r="I53" s="349"/>
      <c r="J53" s="191"/>
      <c r="K53" s="191"/>
      <c r="AF53" s="169">
        <f t="shared" si="27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28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29"/>
        <v/>
      </c>
      <c r="AQ53" s="207" t="s">
        <v>298</v>
      </c>
      <c r="AR53" s="207" t="s">
        <v>171</v>
      </c>
      <c r="AS53" s="207">
        <v>21</v>
      </c>
      <c r="AT53" s="207" t="s">
        <v>299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30"/>
        <v>NiSource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NI</v>
      </c>
    </row>
    <row r="54" spans="1:61" ht="13.8" x14ac:dyDescent="0.25">
      <c r="A54" s="223" t="s">
        <v>304</v>
      </c>
      <c r="B54" s="224" t="s">
        <v>147</v>
      </c>
      <c r="C54" s="224">
        <v>17</v>
      </c>
      <c r="D54" s="224" t="s">
        <v>305</v>
      </c>
      <c r="E54" s="225" t="str">
        <f t="shared" ca="1" si="25"/>
        <v>MR</v>
      </c>
      <c r="F54" s="347"/>
      <c r="G54" s="348">
        <f t="shared" ca="1" si="26"/>
        <v>42</v>
      </c>
      <c r="H54" s="349"/>
      <c r="I54" s="349"/>
      <c r="J54" s="191"/>
      <c r="K54" s="191"/>
      <c r="AF54" s="169">
        <f t="shared" si="27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28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29"/>
        <v/>
      </c>
      <c r="AQ54" s="207" t="s">
        <v>379</v>
      </c>
      <c r="AR54" s="207" t="s">
        <v>145</v>
      </c>
      <c r="AS54" s="207">
        <v>19</v>
      </c>
      <c r="AT54" s="207" t="s">
        <v>385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36</v>
      </c>
      <c r="BF54" s="173" t="str">
        <f t="shared" ca="1" si="30"/>
        <v>Otter Tail Corporation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OTTR</v>
      </c>
    </row>
    <row r="55" spans="1:61" ht="13.8" x14ac:dyDescent="0.25">
      <c r="A55" s="223" t="s">
        <v>308</v>
      </c>
      <c r="B55" s="224" t="s">
        <v>147</v>
      </c>
      <c r="C55" s="224">
        <v>17</v>
      </c>
      <c r="D55" s="224" t="s">
        <v>309</v>
      </c>
      <c r="E55" s="225" t="str">
        <f t="shared" ca="1" si="25"/>
        <v>R</v>
      </c>
      <c r="F55" s="347"/>
      <c r="G55" s="348">
        <f t="shared" ca="1" si="26"/>
        <v>46</v>
      </c>
      <c r="H55" s="349"/>
      <c r="I55" s="349"/>
      <c r="J55" s="191"/>
      <c r="K55" s="191"/>
      <c r="AF55" s="169">
        <f t="shared" si="27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28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29"/>
        <v/>
      </c>
      <c r="AQ55" s="207" t="s">
        <v>399</v>
      </c>
      <c r="AR55" s="207" t="s">
        <v>146</v>
      </c>
      <c r="AS55" s="207">
        <v>18</v>
      </c>
      <c r="AT55" s="207" t="s">
        <v>400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40</v>
      </c>
      <c r="BF55" s="173" t="str">
        <f t="shared" ca="1" si="30"/>
        <v>PNM Resources,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PNM</v>
      </c>
    </row>
    <row r="56" spans="1:61" ht="13.8" x14ac:dyDescent="0.25">
      <c r="A56" s="223" t="s">
        <v>421</v>
      </c>
      <c r="B56" s="224" t="s">
        <v>178</v>
      </c>
      <c r="C56" s="224">
        <v>16</v>
      </c>
      <c r="D56" s="224" t="s">
        <v>422</v>
      </c>
      <c r="E56" s="225" t="str">
        <f t="shared" ca="1" si="25"/>
        <v>R</v>
      </c>
      <c r="F56" s="347"/>
      <c r="G56" s="348">
        <f t="shared" ca="1" si="26"/>
        <v>40</v>
      </c>
      <c r="H56" s="349"/>
      <c r="I56" s="349"/>
      <c r="J56" s="191"/>
      <c r="K56" s="191"/>
      <c r="AF56" s="169">
        <f t="shared" si="27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28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29"/>
        <v/>
      </c>
      <c r="AQ56" s="207" t="s">
        <v>355</v>
      </c>
      <c r="AR56" s="207" t="s">
        <v>144</v>
      </c>
      <c r="AS56" s="207">
        <v>20</v>
      </c>
      <c r="AT56" s="207" t="s">
        <v>356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30"/>
        <v>NV Energy, Inc.</v>
      </c>
      <c r="BG56" s="173" t="str">
        <f t="shared" ca="1" si="9"/>
        <v>BB+</v>
      </c>
      <c r="BH56" s="173">
        <f t="shared" ca="1" si="9"/>
        <v>16</v>
      </c>
      <c r="BI56" s="173" t="str">
        <f t="shared" ca="1" si="9"/>
        <v>NVE</v>
      </c>
    </row>
    <row r="57" spans="1:61" ht="13.8" x14ac:dyDescent="0.25">
      <c r="A57" s="223" t="s">
        <v>310</v>
      </c>
      <c r="B57" s="224" t="s">
        <v>178</v>
      </c>
      <c r="C57" s="224">
        <v>16</v>
      </c>
      <c r="D57" s="224" t="s">
        <v>311</v>
      </c>
      <c r="E57" s="225" t="str">
        <f t="shared" ca="1" si="25"/>
        <v>R</v>
      </c>
      <c r="F57" s="347"/>
      <c r="G57" s="348">
        <f t="shared" ca="1" si="26"/>
        <v>68</v>
      </c>
      <c r="H57" s="349"/>
      <c r="I57" s="349"/>
      <c r="J57" s="191"/>
      <c r="K57" s="191"/>
      <c r="AF57" s="169">
        <f t="shared" si="27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28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29"/>
        <v/>
      </c>
      <c r="AQ57" s="207" t="s">
        <v>364</v>
      </c>
      <c r="AR57" s="207" t="s">
        <v>146</v>
      </c>
      <c r="AS57" s="207">
        <v>18</v>
      </c>
      <c r="AT57" s="207" t="s">
        <v>365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30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ht="13.8" x14ac:dyDescent="0.25">
      <c r="A58" s="223" t="s">
        <v>264</v>
      </c>
      <c r="B58" s="224" t="s">
        <v>180</v>
      </c>
      <c r="C58" s="224">
        <v>15</v>
      </c>
      <c r="D58" s="224" t="s">
        <v>265</v>
      </c>
      <c r="E58" s="225" t="str">
        <f t="shared" ca="1" si="25"/>
        <v>R</v>
      </c>
      <c r="F58" s="347"/>
      <c r="G58" s="348">
        <f t="shared" ca="1" si="26"/>
        <v>64</v>
      </c>
      <c r="H58" s="349"/>
      <c r="I58" s="349"/>
      <c r="J58" s="191"/>
      <c r="K58" s="191"/>
      <c r="AF58" s="169">
        <f t="shared" si="27"/>
        <v>1</v>
      </c>
      <c r="AG58" s="169" t="str">
        <f t="shared" ca="1" si="3"/>
        <v/>
      </c>
      <c r="AH58" s="169">
        <f t="shared" ca="1" si="19"/>
        <v>1</v>
      </c>
      <c r="AJ58" s="169">
        <f t="shared" ca="1" si="28"/>
        <v>48</v>
      </c>
      <c r="AK58" s="169" t="str">
        <f t="shared" ca="1" si="20"/>
        <v>BBB-</v>
      </c>
      <c r="AL58" s="169">
        <f t="shared" ca="1" si="20"/>
        <v>17</v>
      </c>
      <c r="AM58" s="169" t="str">
        <f t="shared" ca="1" si="29"/>
        <v>Change</v>
      </c>
      <c r="AQ58" s="207" t="s">
        <v>252</v>
      </c>
      <c r="AR58" s="207" t="s">
        <v>144</v>
      </c>
      <c r="AS58" s="207">
        <v>20</v>
      </c>
      <c r="AT58" s="207" t="s">
        <v>253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30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ht="13.8" x14ac:dyDescent="0.25">
      <c r="A59" s="223" t="s">
        <v>381</v>
      </c>
      <c r="B59" s="224" t="s">
        <v>431</v>
      </c>
      <c r="C59" s="224">
        <v>2</v>
      </c>
      <c r="D59" s="224" t="s">
        <v>369</v>
      </c>
      <c r="E59" s="225" t="str">
        <f t="shared" ca="1" si="25"/>
        <v>D</v>
      </c>
      <c r="F59" s="347"/>
      <c r="G59" s="348">
        <f t="shared" ca="1" si="26"/>
        <v>65</v>
      </c>
      <c r="H59" s="349"/>
      <c r="I59" s="349"/>
      <c r="J59" s="191"/>
      <c r="K59" s="191"/>
      <c r="AF59" s="169">
        <f t="shared" si="27"/>
        <v>0</v>
      </c>
      <c r="AG59" s="169" t="str">
        <f t="shared" ca="1" si="3"/>
        <v/>
      </c>
      <c r="AH59" s="169">
        <f t="shared" ca="1" si="19"/>
        <v>1</v>
      </c>
      <c r="AJ59" s="169">
        <f t="shared" ca="1" si="28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29"/>
        <v>Change</v>
      </c>
      <c r="AQ59" s="207" t="s">
        <v>256</v>
      </c>
      <c r="AR59" s="207" t="s">
        <v>144</v>
      </c>
      <c r="AS59" s="207">
        <v>20</v>
      </c>
      <c r="AT59" s="207" t="s">
        <v>257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30"/>
        <v>Energy Future Holdings Corp.</v>
      </c>
      <c r="BG59" s="173" t="str">
        <f t="shared" ca="1" si="9"/>
        <v>SD</v>
      </c>
      <c r="BH59" s="173">
        <f t="shared" ca="1" si="9"/>
        <v>2</v>
      </c>
      <c r="BI59" s="173" t="str">
        <f t="shared" ca="1" si="9"/>
        <v>**EFH</v>
      </c>
    </row>
    <row r="60" spans="1:61" ht="13.8" x14ac:dyDescent="0.25">
      <c r="A60" s="180"/>
      <c r="B60" s="181"/>
      <c r="C60" s="181"/>
      <c r="D60" s="181"/>
      <c r="E60" s="182"/>
      <c r="F60" s="349"/>
      <c r="G60" s="352" t="str">
        <f t="shared" ca="1" si="26"/>
        <v/>
      </c>
      <c r="H60" s="349"/>
      <c r="I60" s="349"/>
      <c r="AF60" s="169">
        <f t="shared" si="27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8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29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30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" thickBot="1" x14ac:dyDescent="0.3">
      <c r="A61" s="192"/>
      <c r="B61" s="193"/>
      <c r="C61" s="193"/>
      <c r="D61" s="193"/>
      <c r="E61" s="194"/>
      <c r="F61" s="349"/>
      <c r="G61" s="352" t="str">
        <f t="shared" ca="1" si="26"/>
        <v/>
      </c>
      <c r="H61" s="349"/>
      <c r="I61" s="349"/>
      <c r="AF61" s="169">
        <f t="shared" si="27"/>
        <v>0</v>
      </c>
      <c r="AG61" s="169" t="str">
        <f t="shared" si="3"/>
        <v/>
      </c>
      <c r="AH61" s="169" t="str">
        <f t="shared" si="19"/>
        <v/>
      </c>
      <c r="AJ61" s="169" t="e">
        <f t="shared" ca="1" si="28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29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30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394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26"/>
        <v>34</v>
      </c>
      <c r="H62" s="349"/>
      <c r="I62" s="349"/>
      <c r="AF62" s="169">
        <f t="shared" si="27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28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29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30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426</v>
      </c>
      <c r="B63" s="224" t="s">
        <v>171</v>
      </c>
      <c r="C63" s="224">
        <v>21</v>
      </c>
      <c r="D63" s="224" t="s">
        <v>427</v>
      </c>
      <c r="E63" s="225" t="str">
        <f ca="1">OFFSET( INDIRECT( E$3 &amp; E$4 ), $G63 - 1, 0 )</f>
        <v>R</v>
      </c>
      <c r="F63" s="347"/>
      <c r="G63" s="348">
        <f t="shared" ca="1" si="26"/>
        <v>15</v>
      </c>
      <c r="H63" s="349"/>
      <c r="I63" s="349"/>
      <c r="AF63" s="169">
        <f t="shared" si="27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28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29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30"/>
        <v>0</v>
      </c>
      <c r="BG63" s="173">
        <f t="shared" ref="BG63:BI63" ca="1" si="31">OFFSET( AR$6, $BD63, 0 )</f>
        <v>0</v>
      </c>
      <c r="BH63" s="173">
        <f t="shared" ca="1" si="31"/>
        <v>0</v>
      </c>
      <c r="BI63" s="173">
        <f t="shared" ca="1" si="31"/>
        <v>0</v>
      </c>
    </row>
    <row r="64" spans="1:61" ht="13.8" x14ac:dyDescent="0.25">
      <c r="A64" s="223" t="s">
        <v>409</v>
      </c>
      <c r="B64" s="224" t="s">
        <v>178</v>
      </c>
      <c r="C64" s="224">
        <v>16</v>
      </c>
      <c r="D64" s="224" t="s">
        <v>410</v>
      </c>
      <c r="E64" s="225" t="str">
        <f ca="1">OFFSET( INDIRECT( E$3 &amp; E$4 ), $G64 - 1, 0 )</f>
        <v>R</v>
      </c>
      <c r="F64" s="347"/>
      <c r="G64" s="348">
        <f t="shared" ca="1" si="26"/>
        <v>57</v>
      </c>
      <c r="H64" s="349"/>
      <c r="I64" s="349"/>
      <c r="AF64" s="169">
        <f t="shared" si="27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28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29"/>
        <v/>
      </c>
      <c r="AQ64" s="207" t="s">
        <v>426</v>
      </c>
      <c r="AR64" s="207" t="s">
        <v>171</v>
      </c>
      <c r="AS64" s="207">
        <v>21</v>
      </c>
      <c r="AT64" s="207" t="s">
        <v>427</v>
      </c>
      <c r="AU64" s="207"/>
      <c r="AZ64" s="169"/>
      <c r="BA64" s="169"/>
      <c r="BF64" s="169"/>
    </row>
    <row r="65" spans="1:58" ht="13.8" x14ac:dyDescent="0.25">
      <c r="A65" s="223" t="s">
        <v>411</v>
      </c>
      <c r="B65" s="229"/>
      <c r="C65" s="224"/>
      <c r="D65" s="224" t="s">
        <v>386</v>
      </c>
      <c r="E65" s="225" t="str">
        <f ca="1">OFFSET( INDIRECT( E$3 &amp; E$4 ), $G65 - 1, 0 )</f>
        <v>R</v>
      </c>
      <c r="F65" s="347"/>
      <c r="G65" s="348">
        <f t="shared" ca="1" si="26"/>
        <v>56</v>
      </c>
      <c r="H65" s="349"/>
      <c r="I65" s="349"/>
      <c r="N65" s="168" t="s">
        <v>315</v>
      </c>
      <c r="AF65" s="169">
        <f t="shared" si="27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28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29"/>
        <v/>
      </c>
      <c r="AQ65" s="207" t="s">
        <v>394</v>
      </c>
      <c r="AR65" s="207" t="s">
        <v>167</v>
      </c>
      <c r="AS65" s="207">
        <v>23</v>
      </c>
      <c r="AT65" s="207" t="s">
        <v>314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7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8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29"/>
        <v/>
      </c>
      <c r="AQ66" s="207" t="s">
        <v>411</v>
      </c>
      <c r="AR66" s="207"/>
      <c r="AS66" s="207"/>
      <c r="AT66" s="207" t="s">
        <v>386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7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8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29"/>
        <v/>
      </c>
      <c r="AQ67" s="207" t="s">
        <v>409</v>
      </c>
      <c r="AR67" s="207" t="s">
        <v>178</v>
      </c>
      <c r="AS67" s="207">
        <v>16</v>
      </c>
      <c r="AT67" s="207" t="s">
        <v>410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18.071428571428573</v>
      </c>
      <c r="D68" s="201"/>
      <c r="E68" s="201"/>
      <c r="F68" s="349"/>
      <c r="H68" s="349"/>
      <c r="I68" s="349"/>
      <c r="J68" s="350"/>
      <c r="K68" s="350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Q69" s="207"/>
      <c r="AR69" s="207"/>
      <c r="AS69" s="207"/>
      <c r="AT69" s="207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  <c r="AQ70" s="207"/>
      <c r="AR70" s="207"/>
      <c r="AS70" s="207"/>
      <c r="AT70" s="207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429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413</v>
      </c>
      <c r="D75" s="204"/>
      <c r="F75" s="206"/>
      <c r="H75" s="206"/>
      <c r="I75" s="206"/>
    </row>
    <row r="76" spans="1:58" x14ac:dyDescent="0.2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18.303571428571427</v>
      </c>
      <c r="E79" s="191"/>
      <c r="G79" s="352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-- 2012 Q3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8" hidden="1" outlineLevel="1" x14ac:dyDescent="0.25">
      <c r="A2" s="167"/>
      <c r="E2" s="171" t="str">
        <f>G2</f>
        <v>Reg_Percent_2011</v>
      </c>
      <c r="G2" s="172" t="s">
        <v>424</v>
      </c>
      <c r="AJ2" s="173" t="str">
        <f>AJ4 &amp; AJ3</f>
        <v>'Credit_2012Q2'!a:a</v>
      </c>
      <c r="AK2" s="173" t="str">
        <f>AK4 &amp; AK3</f>
        <v>'Credit_2012Q2'!b1</v>
      </c>
      <c r="AL2" s="173" t="str">
        <f>AL4 &amp; AL3</f>
        <v>'Credit_2012Q2'!c1</v>
      </c>
    </row>
    <row r="3" spans="1:61" ht="18" hidden="1" outlineLevel="1" x14ac:dyDescent="0.2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432</v>
      </c>
      <c r="AK4" s="169" t="str">
        <f>AJ4</f>
        <v>'Credit_2012Q2'!</v>
      </c>
      <c r="AL4" s="169" t="str">
        <f>AK4</f>
        <v>'Credit_2012Q2'!</v>
      </c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(56)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(3)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217</v>
      </c>
      <c r="B6" s="220" t="s">
        <v>50</v>
      </c>
      <c r="C6" s="249" t="s">
        <v>219</v>
      </c>
      <c r="D6" s="221"/>
      <c r="E6" s="222">
        <v>40908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232</v>
      </c>
      <c r="B8" s="224" t="s">
        <v>144</v>
      </c>
      <c r="C8" s="224">
        <v>20</v>
      </c>
      <c r="D8" s="224" t="s">
        <v>233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142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224</v>
      </c>
      <c r="AR8" s="207" t="s">
        <v>145</v>
      </c>
      <c r="AS8" s="207">
        <v>19</v>
      </c>
      <c r="AT8" s="207" t="s">
        <v>225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8" x14ac:dyDescent="0.25">
      <c r="A9" s="223" t="s">
        <v>371</v>
      </c>
      <c r="B9" s="224" t="s">
        <v>144</v>
      </c>
      <c r="C9" s="224">
        <v>20</v>
      </c>
      <c r="D9" s="224" t="s">
        <v>199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144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8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147</v>
      </c>
      <c r="AS9" s="207">
        <v>17</v>
      </c>
      <c r="AT9" s="207" t="s">
        <v>231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8" x14ac:dyDescent="0.25">
      <c r="A10" s="223" t="s">
        <v>405</v>
      </c>
      <c r="B10" s="224" t="s">
        <v>144</v>
      </c>
      <c r="C10" s="224">
        <v>20</v>
      </c>
      <c r="D10" s="224" t="s">
        <v>406</v>
      </c>
      <c r="E10" s="225" t="str">
        <f t="shared" ca="1" si="0"/>
        <v>R</v>
      </c>
      <c r="F10" s="347"/>
      <c r="G10" s="348">
        <f t="shared" ca="1" si="1"/>
        <v>32</v>
      </c>
      <c r="H10" s="349"/>
      <c r="I10" s="234"/>
      <c r="J10" s="215" t="s">
        <v>145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ht="13.8" x14ac:dyDescent="0.25">
      <c r="A11" s="223" t="s">
        <v>245</v>
      </c>
      <c r="B11" s="224" t="s">
        <v>144</v>
      </c>
      <c r="C11" s="224">
        <v>20</v>
      </c>
      <c r="D11" s="224" t="s">
        <v>246</v>
      </c>
      <c r="E11" s="225" t="str">
        <f t="shared" ca="1" si="0"/>
        <v>MR</v>
      </c>
      <c r="F11" s="347"/>
      <c r="G11" s="348">
        <f t="shared" ca="1" si="1"/>
        <v>35</v>
      </c>
      <c r="H11" s="349"/>
      <c r="I11" s="234"/>
      <c r="J11" s="215" t="s">
        <v>146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ht="13.8" x14ac:dyDescent="0.25">
      <c r="A12" s="223" t="s">
        <v>404</v>
      </c>
      <c r="B12" s="224" t="s">
        <v>144</v>
      </c>
      <c r="C12" s="224">
        <v>20</v>
      </c>
      <c r="D12" s="224" t="s">
        <v>241</v>
      </c>
      <c r="E12" s="225" t="str">
        <f t="shared" ca="1" si="0"/>
        <v>R</v>
      </c>
      <c r="F12" s="347"/>
      <c r="G12" s="348">
        <f t="shared" ca="1" si="1"/>
        <v>37</v>
      </c>
      <c r="H12" s="349"/>
      <c r="I12" s="234"/>
      <c r="J12" s="215" t="s">
        <v>147</v>
      </c>
      <c r="K12" s="234"/>
      <c r="L12" s="215">
        <f t="shared" si="10"/>
        <v>12</v>
      </c>
      <c r="M12" s="216">
        <f t="shared" si="11"/>
        <v>0.21428571428571427</v>
      </c>
      <c r="N12" s="234"/>
      <c r="O12" s="215">
        <f t="shared" ca="1" si="12"/>
        <v>7</v>
      </c>
      <c r="P12" s="216">
        <f t="shared" ca="1" si="13"/>
        <v>0.19444444444444445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ht="13.8" x14ac:dyDescent="0.25">
      <c r="A13" s="223" t="s">
        <v>355</v>
      </c>
      <c r="B13" s="224" t="s">
        <v>144</v>
      </c>
      <c r="C13" s="224">
        <v>20</v>
      </c>
      <c r="D13" s="224" t="s">
        <v>356</v>
      </c>
      <c r="E13" s="225" t="str">
        <f t="shared" ca="1" si="0"/>
        <v>R</v>
      </c>
      <c r="F13" s="347"/>
      <c r="G13" s="348">
        <f t="shared" ca="1" si="1"/>
        <v>58</v>
      </c>
      <c r="H13" s="349"/>
      <c r="I13" s="235"/>
      <c r="J13" s="217" t="s">
        <v>148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254</v>
      </c>
      <c r="AR13" s="207" t="s">
        <v>145</v>
      </c>
      <c r="AS13" s="207">
        <v>19</v>
      </c>
      <c r="AT13" s="207" t="s">
        <v>255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ht="13.8" x14ac:dyDescent="0.25">
      <c r="A14" s="223" t="s">
        <v>252</v>
      </c>
      <c r="B14" s="224" t="s">
        <v>144</v>
      </c>
      <c r="C14" s="224">
        <v>20</v>
      </c>
      <c r="D14" s="224" t="s">
        <v>253</v>
      </c>
      <c r="E14" s="225" t="str">
        <f t="shared" ca="1" si="0"/>
        <v>R</v>
      </c>
      <c r="F14" s="347"/>
      <c r="G14" s="348">
        <f t="shared" ca="1" si="1"/>
        <v>60</v>
      </c>
      <c r="H14" s="349"/>
      <c r="I14" s="236"/>
      <c r="J14" s="211" t="s">
        <v>149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18.321428571428573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388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ht="13.8" x14ac:dyDescent="0.25">
      <c r="A15" s="223" t="s">
        <v>256</v>
      </c>
      <c r="B15" s="224" t="s">
        <v>144</v>
      </c>
      <c r="C15" s="224">
        <v>20</v>
      </c>
      <c r="D15" s="224" t="s">
        <v>257</v>
      </c>
      <c r="E15" s="225" t="str">
        <f t="shared" ca="1" si="0"/>
        <v>R</v>
      </c>
      <c r="F15" s="347"/>
      <c r="G15" s="348">
        <f t="shared" ca="1" si="1"/>
        <v>61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147</v>
      </c>
      <c r="AS15" s="207">
        <v>17</v>
      </c>
      <c r="AT15" s="207" t="s">
        <v>262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ht="13.8" x14ac:dyDescent="0.25">
      <c r="A16" s="223" t="s">
        <v>222</v>
      </c>
      <c r="B16" s="224" t="s">
        <v>145</v>
      </c>
      <c r="C16" s="224">
        <v>19</v>
      </c>
      <c r="D16" s="224" t="s">
        <v>223</v>
      </c>
      <c r="E16" s="225" t="str">
        <f t="shared" ca="1" si="0"/>
        <v>R</v>
      </c>
      <c r="F16" s="347"/>
      <c r="G16" s="348">
        <f t="shared" ca="1" si="1"/>
        <v>7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18.232142857142858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18.277777777777779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18.705882352941178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15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ht="13.8" x14ac:dyDescent="0.25">
      <c r="A17" s="223" t="s">
        <v>224</v>
      </c>
      <c r="B17" s="224" t="s">
        <v>145</v>
      </c>
      <c r="C17" s="224">
        <v>19</v>
      </c>
      <c r="D17" s="224" t="s">
        <v>225</v>
      </c>
      <c r="E17" s="225" t="str">
        <f t="shared" ca="1" si="0"/>
        <v>R</v>
      </c>
      <c r="F17" s="347"/>
      <c r="G17" s="348">
        <f t="shared" ca="1" si="1"/>
        <v>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371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ht="13.8" x14ac:dyDescent="0.25">
      <c r="A18" s="223" t="s">
        <v>254</v>
      </c>
      <c r="B18" s="224" t="s">
        <v>145</v>
      </c>
      <c r="C18" s="224">
        <v>19</v>
      </c>
      <c r="D18" s="224" t="s">
        <v>255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147</v>
      </c>
      <c r="AS18" s="207">
        <v>17</v>
      </c>
      <c r="AT18" s="207" t="s">
        <v>265</v>
      </c>
      <c r="AV18" s="168">
        <f t="shared" si="21"/>
        <v>39</v>
      </c>
      <c r="AW18" s="168">
        <f>COUNTIF( AV$7:AV18, AV18 )</f>
        <v>4</v>
      </c>
      <c r="AX18" s="208">
        <f t="shared" si="22"/>
        <v>39.4</v>
      </c>
      <c r="AY18" s="168">
        <f t="shared" si="23"/>
        <v>42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ht="13.8" x14ac:dyDescent="0.25">
      <c r="A19" s="223" t="s">
        <v>266</v>
      </c>
      <c r="B19" s="224" t="s">
        <v>145</v>
      </c>
      <c r="C19" s="224">
        <v>19</v>
      </c>
      <c r="D19" s="224" t="s">
        <v>267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ht="13.8" x14ac:dyDescent="0.25">
      <c r="A20" s="223" t="s">
        <v>268</v>
      </c>
      <c r="B20" s="224" t="s">
        <v>145</v>
      </c>
      <c r="C20" s="224">
        <v>19</v>
      </c>
      <c r="D20" s="224" t="s">
        <v>269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>
        <f t="shared" ca="1" si="19"/>
        <v>1</v>
      </c>
      <c r="AJ20" s="169">
        <f t="shared" ca="1" si="4"/>
        <v>10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5"/>
        <v>Change</v>
      </c>
      <c r="AQ20" s="207" t="s">
        <v>268</v>
      </c>
      <c r="AR20" s="207" t="s">
        <v>145</v>
      </c>
      <c r="AS20" s="207">
        <v>19</v>
      </c>
      <c r="AT20" s="207" t="s">
        <v>269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ht="13.8" x14ac:dyDescent="0.25">
      <c r="A21" s="223" t="s">
        <v>397</v>
      </c>
      <c r="B21" s="224" t="s">
        <v>145</v>
      </c>
      <c r="C21" s="224">
        <v>19</v>
      </c>
      <c r="D21" s="224" t="s">
        <v>398</v>
      </c>
      <c r="E21" s="225" t="str">
        <f t="shared" ca="1" si="0"/>
        <v>R</v>
      </c>
      <c r="F21" s="347"/>
      <c r="G21" s="348">
        <f t="shared" ca="1" si="1"/>
        <v>63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39</v>
      </c>
      <c r="AW21" s="168">
        <f>COUNTIF( AV$7:AV21, AV21 )</f>
        <v>5</v>
      </c>
      <c r="AX21" s="208">
        <f t="shared" si="22"/>
        <v>39.5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ht="13.8" x14ac:dyDescent="0.25">
      <c r="A22" s="223" t="s">
        <v>276</v>
      </c>
      <c r="B22" s="224" t="s">
        <v>145</v>
      </c>
      <c r="C22" s="224">
        <v>19</v>
      </c>
      <c r="D22" s="224" t="s">
        <v>277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338</v>
      </c>
      <c r="AR22" s="207" t="s">
        <v>146</v>
      </c>
      <c r="AS22" s="207">
        <v>18</v>
      </c>
      <c r="AT22" s="207" t="s">
        <v>341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8" x14ac:dyDescent="0.25">
      <c r="A23" s="223" t="s">
        <v>418</v>
      </c>
      <c r="B23" s="224" t="s">
        <v>145</v>
      </c>
      <c r="C23" s="224">
        <v>19</v>
      </c>
      <c r="D23" s="224" t="s">
        <v>221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377</v>
      </c>
      <c r="AR23" s="207" t="s">
        <v>147</v>
      </c>
      <c r="AS23" s="207">
        <v>17</v>
      </c>
      <c r="AT23" s="207" t="s">
        <v>378</v>
      </c>
      <c r="AV23" s="168">
        <f t="shared" si="21"/>
        <v>39</v>
      </c>
      <c r="AW23" s="168">
        <f>COUNTIF( AV$7:AV23, AV23 )</f>
        <v>6</v>
      </c>
      <c r="AX23" s="208">
        <f t="shared" si="22"/>
        <v>39.6</v>
      </c>
      <c r="AY23" s="168">
        <f t="shared" si="23"/>
        <v>44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8" x14ac:dyDescent="0.25">
      <c r="A24" s="223" t="s">
        <v>282</v>
      </c>
      <c r="B24" s="224" t="s">
        <v>145</v>
      </c>
      <c r="C24" s="224">
        <v>19</v>
      </c>
      <c r="D24" s="224" t="s">
        <v>283</v>
      </c>
      <c r="E24" s="225" t="str">
        <f t="shared" ca="1" si="0"/>
        <v>MR</v>
      </c>
      <c r="F24" s="347"/>
      <c r="G24" s="348">
        <f t="shared" ca="1" si="1"/>
        <v>41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381</v>
      </c>
      <c r="AR24" s="207" t="s">
        <v>192</v>
      </c>
      <c r="AS24" s="207">
        <v>9</v>
      </c>
      <c r="AT24" s="207" t="s">
        <v>369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ht="13.8" x14ac:dyDescent="0.25">
      <c r="A25" s="223" t="s">
        <v>392</v>
      </c>
      <c r="B25" s="224" t="s">
        <v>145</v>
      </c>
      <c r="C25" s="224">
        <v>19</v>
      </c>
      <c r="D25" s="224" t="s">
        <v>393</v>
      </c>
      <c r="E25" s="225" t="str">
        <f t="shared" ca="1" si="0"/>
        <v>MR</v>
      </c>
      <c r="F25" s="347"/>
      <c r="G25" s="348">
        <f t="shared" ca="1" si="1"/>
        <v>43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ht="13.8" x14ac:dyDescent="0.25">
      <c r="A26" s="223" t="s">
        <v>357</v>
      </c>
      <c r="B26" s="224" t="s">
        <v>145</v>
      </c>
      <c r="C26" s="224">
        <v>19</v>
      </c>
      <c r="D26" s="224" t="s">
        <v>358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ht="13.8" x14ac:dyDescent="0.25">
      <c r="A27" s="223" t="s">
        <v>296</v>
      </c>
      <c r="B27" s="224" t="s">
        <v>145</v>
      </c>
      <c r="C27" s="224">
        <v>19</v>
      </c>
      <c r="D27" s="224" t="s">
        <v>297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39</v>
      </c>
      <c r="AW27" s="168">
        <f>COUNTIF( AV$7:AV27, AV27 )</f>
        <v>7</v>
      </c>
      <c r="AX27" s="208">
        <f t="shared" si="22"/>
        <v>39.700000000000003</v>
      </c>
      <c r="AY27" s="168">
        <f t="shared" si="23"/>
        <v>45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ht="13.8" x14ac:dyDescent="0.25">
      <c r="A28" s="223" t="s">
        <v>379</v>
      </c>
      <c r="B28" s="224" t="s">
        <v>145</v>
      </c>
      <c r="C28" s="224">
        <v>19</v>
      </c>
      <c r="D28" s="224" t="s">
        <v>385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362</v>
      </c>
      <c r="AR28" s="207" t="s">
        <v>146</v>
      </c>
      <c r="AS28" s="207">
        <v>18</v>
      </c>
      <c r="AT28" s="207" t="s">
        <v>363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ht="13.8" x14ac:dyDescent="0.25">
      <c r="A29" s="223" t="s">
        <v>227</v>
      </c>
      <c r="B29" s="224" t="s">
        <v>146</v>
      </c>
      <c r="C29" s="224">
        <v>18</v>
      </c>
      <c r="D29" s="224" t="s">
        <v>228</v>
      </c>
      <c r="E29" s="225" t="str">
        <f t="shared" ca="1" si="0"/>
        <v>R</v>
      </c>
      <c r="F29" s="347"/>
      <c r="G29" s="348">
        <f t="shared" ca="1" si="1"/>
        <v>10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39</v>
      </c>
      <c r="AW29" s="168">
        <f>COUNTIF( AV$7:AV29, AV29 )</f>
        <v>8</v>
      </c>
      <c r="AX29" s="208">
        <f t="shared" si="22"/>
        <v>39.799999999999997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ht="13.8" x14ac:dyDescent="0.25">
      <c r="A30" s="223" t="s">
        <v>243</v>
      </c>
      <c r="B30" s="224" t="s">
        <v>146</v>
      </c>
      <c r="C30" s="224">
        <v>18</v>
      </c>
      <c r="D30" s="224" t="s">
        <v>244</v>
      </c>
      <c r="E30" s="225" t="str">
        <f t="shared" ca="1" si="0"/>
        <v>R</v>
      </c>
      <c r="F30" s="347"/>
      <c r="G30" s="348">
        <f t="shared" ca="1" si="1"/>
        <v>11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397</v>
      </c>
      <c r="AR30" s="207" t="s">
        <v>145</v>
      </c>
      <c r="AS30" s="207">
        <v>19</v>
      </c>
      <c r="AT30" s="207" t="s">
        <v>398</v>
      </c>
      <c r="AV30" s="168">
        <f t="shared" si="21"/>
        <v>10</v>
      </c>
      <c r="AW30" s="168">
        <f>COUNTIF( AV$7:AV30, AV30 )</f>
        <v>6</v>
      </c>
      <c r="AX30" s="208">
        <f t="shared" si="22"/>
        <v>10.6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ht="13.8" x14ac:dyDescent="0.25">
      <c r="A31" s="223" t="s">
        <v>259</v>
      </c>
      <c r="B31" s="224" t="s">
        <v>146</v>
      </c>
      <c r="C31" s="224">
        <v>18</v>
      </c>
      <c r="D31" s="224" t="s">
        <v>388</v>
      </c>
      <c r="E31" s="225" t="str">
        <f t="shared" ca="1" si="0"/>
        <v>R</v>
      </c>
      <c r="F31" s="347"/>
      <c r="G31" s="348">
        <f t="shared" ca="1" si="1"/>
        <v>16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23</v>
      </c>
      <c r="AW31" s="168">
        <f>COUNTIF( AV$7:AV31, AV31 )</f>
        <v>8</v>
      </c>
      <c r="AX31" s="208">
        <f t="shared" si="22"/>
        <v>23.8</v>
      </c>
      <c r="AY31" s="168">
        <f t="shared" si="23"/>
        <v>30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ht="13.8" x14ac:dyDescent="0.25">
      <c r="A32" s="223" t="s">
        <v>338</v>
      </c>
      <c r="B32" s="224" t="s">
        <v>146</v>
      </c>
      <c r="C32" s="224">
        <v>18</v>
      </c>
      <c r="D32" s="224" t="s">
        <v>341</v>
      </c>
      <c r="E32" s="225" t="str">
        <f t="shared" ca="1" si="0"/>
        <v>R</v>
      </c>
      <c r="F32" s="347"/>
      <c r="G32" s="348">
        <f t="shared" ca="1" si="1"/>
        <v>24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ht="13.8" x14ac:dyDescent="0.25">
      <c r="A33" s="223" t="s">
        <v>272</v>
      </c>
      <c r="B33" s="224" t="s">
        <v>146</v>
      </c>
      <c r="C33" s="224">
        <v>18</v>
      </c>
      <c r="D33" s="224" t="s">
        <v>273</v>
      </c>
      <c r="E33" s="225" t="str">
        <f t="shared" ca="1" si="0"/>
        <v>R</v>
      </c>
      <c r="F33" s="347"/>
      <c r="G33" s="348">
        <f t="shared" ca="1" si="1"/>
        <v>26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39</v>
      </c>
      <c r="AW33" s="168">
        <f>COUNTIF( AV$7:AV33, AV33 )</f>
        <v>9</v>
      </c>
      <c r="AX33" s="208">
        <f t="shared" si="22"/>
        <v>39.9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ht="13.8" x14ac:dyDescent="0.25">
      <c r="A34" s="223" t="s">
        <v>274</v>
      </c>
      <c r="B34" s="224" t="s">
        <v>146</v>
      </c>
      <c r="C34" s="224">
        <v>18</v>
      </c>
      <c r="D34" s="224" t="s">
        <v>275</v>
      </c>
      <c r="E34" s="225" t="str">
        <f t="shared" ca="1" si="0"/>
        <v>MR</v>
      </c>
      <c r="F34" s="347"/>
      <c r="G34" s="348">
        <f t="shared" ca="1" si="1"/>
        <v>27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10</v>
      </c>
      <c r="AW34" s="168">
        <f>COUNTIF( AV$7:AV34, AV34 )</f>
        <v>7</v>
      </c>
      <c r="AX34" s="208">
        <f t="shared" si="22"/>
        <v>10.7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ht="13.8" x14ac:dyDescent="0.25">
      <c r="A35" s="223" t="s">
        <v>362</v>
      </c>
      <c r="B35" s="224" t="s">
        <v>146</v>
      </c>
      <c r="C35" s="224">
        <v>18</v>
      </c>
      <c r="D35" s="224" t="s">
        <v>363</v>
      </c>
      <c r="E35" s="225" t="str">
        <f t="shared" ca="1" si="0"/>
        <v>R</v>
      </c>
      <c r="F35" s="347"/>
      <c r="G35" s="348">
        <f t="shared" ca="1" si="1"/>
        <v>29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418</v>
      </c>
      <c r="AR35" s="207" t="s">
        <v>145</v>
      </c>
      <c r="AS35" s="207">
        <v>19</v>
      </c>
      <c r="AT35" s="207" t="s">
        <v>221</v>
      </c>
      <c r="AV35" s="168">
        <f t="shared" si="21"/>
        <v>10</v>
      </c>
      <c r="AW35" s="168">
        <f>COUNTIF( AV$7:AV35, AV35 )</f>
        <v>8</v>
      </c>
      <c r="AX35" s="208">
        <f t="shared" si="22"/>
        <v>10.8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ht="13.8" x14ac:dyDescent="0.25">
      <c r="A36" s="223" t="s">
        <v>288</v>
      </c>
      <c r="B36" s="224" t="s">
        <v>146</v>
      </c>
      <c r="C36" s="224">
        <v>18</v>
      </c>
      <c r="D36" s="224" t="s">
        <v>289</v>
      </c>
      <c r="E36" s="225" t="str">
        <f t="shared" ca="1" si="0"/>
        <v>R</v>
      </c>
      <c r="F36" s="347"/>
      <c r="G36" s="348">
        <f t="shared" ca="1" si="1"/>
        <v>31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25</v>
      </c>
      <c r="BF36" s="173" t="str">
        <f t="shared" ca="1" si="8"/>
        <v>IDACORP,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IDA</v>
      </c>
    </row>
    <row r="37" spans="1:61" ht="13.8" x14ac:dyDescent="0.25">
      <c r="A37" s="223" t="s">
        <v>302</v>
      </c>
      <c r="B37" s="224" t="s">
        <v>146</v>
      </c>
      <c r="C37" s="224">
        <v>18</v>
      </c>
      <c r="D37" s="224" t="s">
        <v>303</v>
      </c>
      <c r="E37" s="225" t="str">
        <f t="shared" ca="1" si="0"/>
        <v>R</v>
      </c>
      <c r="F37" s="347"/>
      <c r="G37" s="348">
        <f t="shared" ca="1" si="1"/>
        <v>38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39</v>
      </c>
      <c r="AW37" s="168">
        <f>COUNTIF( AV$7:AV37, AV37 )</f>
        <v>10</v>
      </c>
      <c r="AX37" s="208">
        <f t="shared" si="22"/>
        <v>40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7"/>
        <v>33</v>
      </c>
      <c r="BF37" s="173" t="str">
        <f t="shared" ca="1" si="8"/>
        <v>NorthWestern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NWE</v>
      </c>
    </row>
    <row r="38" spans="1:61" ht="13.8" x14ac:dyDescent="0.25">
      <c r="A38" s="223" t="s">
        <v>306</v>
      </c>
      <c r="B38" s="224" t="s">
        <v>146</v>
      </c>
      <c r="C38" s="224">
        <v>18</v>
      </c>
      <c r="D38" s="224" t="s">
        <v>307</v>
      </c>
      <c r="E38" s="225" t="str">
        <f t="shared" ca="1" si="0"/>
        <v>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404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38</v>
      </c>
      <c r="BF38" s="173" t="str">
        <f t="shared" ca="1" si="8"/>
        <v>PG&amp;E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PCG</v>
      </c>
    </row>
    <row r="39" spans="1:61" ht="13.8" x14ac:dyDescent="0.25">
      <c r="A39" s="223" t="s">
        <v>286</v>
      </c>
      <c r="B39" s="224" t="s">
        <v>146</v>
      </c>
      <c r="C39" s="224">
        <v>18</v>
      </c>
      <c r="D39" s="224" t="s">
        <v>287</v>
      </c>
      <c r="E39" s="225" t="str">
        <f t="shared" ca="1" si="0"/>
        <v>R</v>
      </c>
      <c r="F39" s="347"/>
      <c r="G39" s="348">
        <f t="shared" ca="1" si="1"/>
        <v>45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23</v>
      </c>
      <c r="AW39" s="168">
        <f>COUNTIF( AV$7:AV39, AV39 )</f>
        <v>9</v>
      </c>
      <c r="AX39" s="208">
        <f t="shared" si="22"/>
        <v>23.9</v>
      </c>
      <c r="AY39" s="168">
        <f t="shared" si="23"/>
        <v>31</v>
      </c>
      <c r="AZ39" s="169"/>
      <c r="BA39" s="169"/>
      <c r="BC39" s="168">
        <f t="shared" ca="1" si="24"/>
        <v>33</v>
      </c>
      <c r="BD39" s="209">
        <f t="shared" ca="1" si="7"/>
        <v>39</v>
      </c>
      <c r="BF39" s="173" t="str">
        <f t="shared" ref="BF39:BF63" ca="1" si="25">OFFSET( AQ$6, $BD39, 0 )</f>
        <v>Pinnacle West Capital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PNW</v>
      </c>
    </row>
    <row r="40" spans="1:61" ht="13.8" x14ac:dyDescent="0.25">
      <c r="A40" s="223" t="s">
        <v>290</v>
      </c>
      <c r="B40" s="224" t="s">
        <v>146</v>
      </c>
      <c r="C40" s="224">
        <v>18</v>
      </c>
      <c r="D40" s="224" t="s">
        <v>291</v>
      </c>
      <c r="E40" s="225" t="str">
        <f t="shared" ca="1" si="0"/>
        <v>R</v>
      </c>
      <c r="F40" s="347"/>
      <c r="G40" s="348">
        <f t="shared" ca="1" si="1"/>
        <v>47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421</v>
      </c>
      <c r="AR40" s="207" t="s">
        <v>178</v>
      </c>
      <c r="AS40" s="207">
        <v>16</v>
      </c>
      <c r="AT40" s="207" t="s">
        <v>422</v>
      </c>
      <c r="AV40" s="168">
        <f t="shared" si="21"/>
        <v>51</v>
      </c>
      <c r="AW40" s="168">
        <f>COUNTIF( AV$7:AV40, AV40 )</f>
        <v>1</v>
      </c>
      <c r="AX40" s="208">
        <f t="shared" si="22"/>
        <v>51.1</v>
      </c>
      <c r="AY40" s="168">
        <f t="shared" si="23"/>
        <v>51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25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ht="13.8" x14ac:dyDescent="0.25">
      <c r="A41" s="223" t="s">
        <v>248</v>
      </c>
      <c r="B41" s="224" t="s">
        <v>146</v>
      </c>
      <c r="C41" s="224">
        <v>18</v>
      </c>
      <c r="D41" s="224" t="s">
        <v>249</v>
      </c>
      <c r="E41" s="225" t="str">
        <f t="shared" ca="1" si="0"/>
        <v>MR</v>
      </c>
      <c r="F41" s="347"/>
      <c r="G41" s="348">
        <f t="shared" ca="1" si="1"/>
        <v>48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282</v>
      </c>
      <c r="AR41" s="207" t="s">
        <v>145</v>
      </c>
      <c r="AS41" s="207">
        <v>19</v>
      </c>
      <c r="AT41" s="207" t="s">
        <v>283</v>
      </c>
      <c r="AV41" s="168">
        <f t="shared" si="21"/>
        <v>10</v>
      </c>
      <c r="AW41" s="168">
        <f>COUNTIF( AV$7:AV41, AV41 )</f>
        <v>9</v>
      </c>
      <c r="AX41" s="208">
        <f t="shared" si="22"/>
        <v>10.9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25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ht="13.8" x14ac:dyDescent="0.25">
      <c r="A42" s="223" t="s">
        <v>294</v>
      </c>
      <c r="B42" s="224" t="s">
        <v>146</v>
      </c>
      <c r="C42" s="224">
        <v>18</v>
      </c>
      <c r="D42" s="224" t="s">
        <v>295</v>
      </c>
      <c r="E42" s="225" t="str">
        <f t="shared" ca="1" si="0"/>
        <v>MR</v>
      </c>
      <c r="F42" s="347"/>
      <c r="G42" s="348">
        <f t="shared" ca="1" si="1"/>
        <v>50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304</v>
      </c>
      <c r="AR42" s="207" t="s">
        <v>147</v>
      </c>
      <c r="AS42" s="207">
        <v>17</v>
      </c>
      <c r="AT42" s="207" t="s">
        <v>305</v>
      </c>
      <c r="AV42" s="168">
        <f t="shared" si="21"/>
        <v>39</v>
      </c>
      <c r="AW42" s="168">
        <f>COUNTIF( AV$7:AV42, AV42 )</f>
        <v>11</v>
      </c>
      <c r="AX42" s="208">
        <f t="shared" si="22"/>
        <v>40.1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25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ht="13.8" x14ac:dyDescent="0.25">
      <c r="A43" s="223" t="s">
        <v>399</v>
      </c>
      <c r="B43" s="224" t="s">
        <v>146</v>
      </c>
      <c r="C43" s="224">
        <v>18</v>
      </c>
      <c r="D43" s="224" t="s">
        <v>400</v>
      </c>
      <c r="E43" s="225" t="str">
        <f t="shared" ca="1" si="0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392</v>
      </c>
      <c r="AR43" s="207" t="s">
        <v>145</v>
      </c>
      <c r="AS43" s="207">
        <v>19</v>
      </c>
      <c r="AT43" s="207" t="s">
        <v>393</v>
      </c>
      <c r="AV43" s="168">
        <f t="shared" si="21"/>
        <v>10</v>
      </c>
      <c r="AW43" s="168">
        <f>COUNTIF( AV$7:AV43, AV43 )</f>
        <v>10</v>
      </c>
      <c r="AX43" s="208">
        <f t="shared" si="22"/>
        <v>11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25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ht="13.8" x14ac:dyDescent="0.25">
      <c r="A44" s="223" t="s">
        <v>364</v>
      </c>
      <c r="B44" s="224" t="s">
        <v>146</v>
      </c>
      <c r="C44" s="224">
        <v>18</v>
      </c>
      <c r="D44" s="224" t="s">
        <v>365</v>
      </c>
      <c r="E44" s="225" t="str">
        <f t="shared" ca="1" si="0"/>
        <v>R</v>
      </c>
      <c r="F44" s="347"/>
      <c r="G44" s="348">
        <f t="shared" ca="1" si="1"/>
        <v>59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1"/>
        <v>23</v>
      </c>
      <c r="AW44" s="168">
        <f>COUNTIF( AV$7:AV44, AV44 )</f>
        <v>10</v>
      </c>
      <c r="AX44" s="208">
        <f t="shared" si="22"/>
        <v>24</v>
      </c>
      <c r="AY44" s="168">
        <f t="shared" si="23"/>
        <v>32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25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ht="13.8" x14ac:dyDescent="0.25">
      <c r="A45" s="223" t="s">
        <v>230</v>
      </c>
      <c r="B45" s="224" t="s">
        <v>147</v>
      </c>
      <c r="C45" s="224">
        <v>17</v>
      </c>
      <c r="D45" s="224" t="s">
        <v>231</v>
      </c>
      <c r="E45" s="225" t="str">
        <f t="shared" ca="1" si="0"/>
        <v>R</v>
      </c>
      <c r="F45" s="347"/>
      <c r="G45" s="348">
        <f t="shared" ca="1" si="1"/>
        <v>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/>
      </c>
      <c r="AQ45" s="207" t="s">
        <v>286</v>
      </c>
      <c r="AR45" s="207" t="s">
        <v>146</v>
      </c>
      <c r="AS45" s="207">
        <v>18</v>
      </c>
      <c r="AT45" s="207" t="s">
        <v>287</v>
      </c>
      <c r="AV45" s="168">
        <f t="shared" si="21"/>
        <v>23</v>
      </c>
      <c r="AW45" s="168">
        <f>COUNTIF( AV$7:AV45, AV45 )</f>
        <v>11</v>
      </c>
      <c r="AX45" s="208">
        <f t="shared" si="22"/>
        <v>24.1</v>
      </c>
      <c r="AY45" s="168">
        <f t="shared" si="23"/>
        <v>33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25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ht="13.8" x14ac:dyDescent="0.25">
      <c r="A46" s="223" t="s">
        <v>250</v>
      </c>
      <c r="B46" s="224" t="s">
        <v>147</v>
      </c>
      <c r="C46" s="224">
        <v>17</v>
      </c>
      <c r="D46" s="224" t="s">
        <v>251</v>
      </c>
      <c r="E46" s="225" t="str">
        <f t="shared" ca="1" si="0"/>
        <v>MR</v>
      </c>
      <c r="F46" s="347"/>
      <c r="G46" s="348">
        <f t="shared" ca="1" si="1"/>
        <v>12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308</v>
      </c>
      <c r="AR46" s="207" t="s">
        <v>147</v>
      </c>
      <c r="AS46" s="207">
        <v>17</v>
      </c>
      <c r="AT46" s="207" t="s">
        <v>309</v>
      </c>
      <c r="AV46" s="168">
        <f t="shared" si="21"/>
        <v>39</v>
      </c>
      <c r="AW46" s="168">
        <f>COUNTIF( AV$7:AV46, AV46 )</f>
        <v>12</v>
      </c>
      <c r="AX46" s="208">
        <f t="shared" si="22"/>
        <v>40.200000000000003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25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ht="13.8" x14ac:dyDescent="0.25">
      <c r="A47" s="223" t="s">
        <v>261</v>
      </c>
      <c r="B47" s="224" t="s">
        <v>147</v>
      </c>
      <c r="C47" s="224">
        <v>17</v>
      </c>
      <c r="D47" s="224" t="s">
        <v>262</v>
      </c>
      <c r="E47" s="225" t="str">
        <f t="shared" ca="1" si="0"/>
        <v>R</v>
      </c>
      <c r="F47" s="347"/>
      <c r="G47" s="348">
        <f t="shared" ca="1" si="1"/>
        <v>17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25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ht="13.8" x14ac:dyDescent="0.25">
      <c r="A48" s="223" t="s">
        <v>264</v>
      </c>
      <c r="B48" s="224" t="s">
        <v>147</v>
      </c>
      <c r="C48" s="224">
        <v>17</v>
      </c>
      <c r="D48" s="224" t="s">
        <v>265</v>
      </c>
      <c r="E48" s="225" t="str">
        <f t="shared" ca="1" si="0"/>
        <v>R</v>
      </c>
      <c r="F48" s="347"/>
      <c r="G48" s="348">
        <f t="shared" ca="1" si="1"/>
        <v>64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12</v>
      </c>
      <c r="BF48" s="173" t="str">
        <f t="shared" ca="1" si="25"/>
        <v>DPL Inc.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**DPL</v>
      </c>
    </row>
    <row r="49" spans="1:61" ht="13.8" x14ac:dyDescent="0.25">
      <c r="A49" s="223" t="s">
        <v>270</v>
      </c>
      <c r="B49" s="224" t="s">
        <v>147</v>
      </c>
      <c r="C49" s="224">
        <v>17</v>
      </c>
      <c r="D49" s="224" t="s">
        <v>271</v>
      </c>
      <c r="E49" s="225" t="str">
        <f t="shared" ca="1" si="0"/>
        <v>R</v>
      </c>
      <c r="F49" s="347"/>
      <c r="G49" s="348">
        <f t="shared" ca="1" si="1"/>
        <v>23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294</v>
      </c>
      <c r="AR49" s="207" t="s">
        <v>146</v>
      </c>
      <c r="AS49" s="207">
        <v>18</v>
      </c>
      <c r="AT49" s="207" t="s">
        <v>295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EIX</v>
      </c>
    </row>
    <row r="50" spans="1:61" ht="13.8" x14ac:dyDescent="0.25">
      <c r="A50" s="223" t="s">
        <v>377</v>
      </c>
      <c r="B50" s="224" t="s">
        <v>147</v>
      </c>
      <c r="C50" s="224">
        <v>17</v>
      </c>
      <c r="D50" s="224" t="s">
        <v>378</v>
      </c>
      <c r="E50" s="225" t="str">
        <f t="shared" ca="1" si="0"/>
        <v>R</v>
      </c>
      <c r="F50" s="347"/>
      <c r="G50" s="348">
        <f t="shared" ca="1" si="1"/>
        <v>25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310</v>
      </c>
      <c r="AR50" s="207" t="s">
        <v>178</v>
      </c>
      <c r="AS50" s="207">
        <v>16</v>
      </c>
      <c r="AT50" s="207" t="s">
        <v>311</v>
      </c>
      <c r="AV50" s="168">
        <f t="shared" si="21"/>
        <v>51</v>
      </c>
      <c r="AW50" s="168">
        <f>COUNTIF( AV$7:AV50, AV50 )</f>
        <v>2</v>
      </c>
      <c r="AX50" s="208">
        <f t="shared" si="22"/>
        <v>51.2</v>
      </c>
      <c r="AY50" s="168">
        <f t="shared" si="23"/>
        <v>52</v>
      </c>
      <c r="AZ50" s="169"/>
      <c r="BA50" s="169"/>
      <c r="BC50" s="168">
        <f t="shared" ca="1" si="24"/>
        <v>44</v>
      </c>
      <c r="BD50" s="209">
        <f t="shared" ca="1" si="7"/>
        <v>17</v>
      </c>
      <c r="BF50" s="173" t="str">
        <f t="shared" ca="1" si="25"/>
        <v>Empire District Electric Company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EDE</v>
      </c>
    </row>
    <row r="51" spans="1:61" ht="13.8" x14ac:dyDescent="0.25">
      <c r="A51" s="223" t="s">
        <v>280</v>
      </c>
      <c r="B51" s="224" t="s">
        <v>147</v>
      </c>
      <c r="C51" s="224">
        <v>17</v>
      </c>
      <c r="D51" s="224" t="s">
        <v>281</v>
      </c>
      <c r="E51" s="225" t="str">
        <f t="shared" ca="1" si="0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357</v>
      </c>
      <c r="AR51" s="207" t="s">
        <v>145</v>
      </c>
      <c r="AS51" s="207">
        <v>19</v>
      </c>
      <c r="AT51" s="207" t="s">
        <v>358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21</v>
      </c>
      <c r="BF51" s="173" t="str">
        <f t="shared" ca="1" si="25"/>
        <v>FirstEnergy Corp.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FE</v>
      </c>
    </row>
    <row r="52" spans="1:61" ht="13.8" x14ac:dyDescent="0.25">
      <c r="A52" s="223" t="s">
        <v>284</v>
      </c>
      <c r="B52" s="224" t="s">
        <v>147</v>
      </c>
      <c r="C52" s="224">
        <v>17</v>
      </c>
      <c r="D52" s="224" t="s">
        <v>285</v>
      </c>
      <c r="E52" s="225" t="str">
        <f t="shared" ca="1" si="0"/>
        <v>D</v>
      </c>
      <c r="F52" s="347"/>
      <c r="G52" s="348">
        <f t="shared" ca="1" si="1"/>
        <v>30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296</v>
      </c>
      <c r="AR52" s="207" t="s">
        <v>145</v>
      </c>
      <c r="AS52" s="207">
        <v>19</v>
      </c>
      <c r="AT52" s="207" t="s">
        <v>297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23</v>
      </c>
      <c r="BF52" s="173" t="str">
        <f t="shared" ca="1" si="25"/>
        <v>Hawaiian Electric Industries,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HE</v>
      </c>
    </row>
    <row r="53" spans="1:61" ht="13.8" x14ac:dyDescent="0.25">
      <c r="A53" s="223" t="s">
        <v>292</v>
      </c>
      <c r="B53" s="224" t="s">
        <v>147</v>
      </c>
      <c r="C53" s="224">
        <v>17</v>
      </c>
      <c r="D53" s="224" t="s">
        <v>293</v>
      </c>
      <c r="E53" s="225" t="str">
        <f t="shared" ca="1" si="0"/>
        <v>R</v>
      </c>
      <c r="F53" s="347"/>
      <c r="G53" s="348">
        <f t="shared" ca="1" si="1"/>
        <v>66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298</v>
      </c>
      <c r="AR53" s="207" t="s">
        <v>171</v>
      </c>
      <c r="AS53" s="207">
        <v>21</v>
      </c>
      <c r="AT53" s="207" t="s">
        <v>299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27</v>
      </c>
      <c r="BF53" s="173" t="str">
        <f t="shared" ca="1" si="25"/>
        <v>IPALCO Enterprises,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**IPALCO</v>
      </c>
    </row>
    <row r="54" spans="1:61" ht="13.8" x14ac:dyDescent="0.25">
      <c r="A54" s="223" t="s">
        <v>278</v>
      </c>
      <c r="B54" s="224" t="s">
        <v>147</v>
      </c>
      <c r="C54" s="224">
        <v>17</v>
      </c>
      <c r="D54" s="224" t="s">
        <v>279</v>
      </c>
      <c r="E54" s="225" t="str">
        <f t="shared" ca="1" si="0"/>
        <v>MR</v>
      </c>
      <c r="F54" s="347"/>
      <c r="G54" s="348">
        <f t="shared" ca="1" si="1"/>
        <v>36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379</v>
      </c>
      <c r="AR54" s="207" t="s">
        <v>145</v>
      </c>
      <c r="AS54" s="207">
        <v>19</v>
      </c>
      <c r="AT54" s="207" t="s">
        <v>385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31</v>
      </c>
      <c r="BF54" s="173" t="str">
        <f t="shared" ca="1" si="25"/>
        <v>NiSource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NI</v>
      </c>
    </row>
    <row r="55" spans="1:61" ht="13.8" x14ac:dyDescent="0.25">
      <c r="A55" s="223" t="s">
        <v>304</v>
      </c>
      <c r="B55" s="224" t="s">
        <v>147</v>
      </c>
      <c r="C55" s="224">
        <v>17</v>
      </c>
      <c r="D55" s="224" t="s">
        <v>305</v>
      </c>
      <c r="E55" s="225" t="str">
        <f t="shared" ca="1" si="0"/>
        <v>MR</v>
      </c>
      <c r="F55" s="347"/>
      <c r="G55" s="348">
        <f t="shared" ca="1" si="1"/>
        <v>42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399</v>
      </c>
      <c r="AR55" s="207" t="s">
        <v>146</v>
      </c>
      <c r="AS55" s="207">
        <v>18</v>
      </c>
      <c r="AT55" s="207" t="s">
        <v>400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OTTR</v>
      </c>
    </row>
    <row r="56" spans="1:61" ht="13.8" x14ac:dyDescent="0.25">
      <c r="A56" s="223" t="s">
        <v>308</v>
      </c>
      <c r="B56" s="224" t="s">
        <v>147</v>
      </c>
      <c r="C56" s="224">
        <v>17</v>
      </c>
      <c r="D56" s="224" t="s">
        <v>309</v>
      </c>
      <c r="E56" s="225" t="str">
        <f t="shared" ca="1" si="0"/>
        <v>R</v>
      </c>
      <c r="F56" s="347"/>
      <c r="G56" s="348">
        <f t="shared" ca="1" si="1"/>
        <v>46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355</v>
      </c>
      <c r="AR56" s="207" t="s">
        <v>144</v>
      </c>
      <c r="AS56" s="207">
        <v>20</v>
      </c>
      <c r="AT56" s="207" t="s">
        <v>356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PNM</v>
      </c>
    </row>
    <row r="57" spans="1:61" ht="13.8" x14ac:dyDescent="0.25">
      <c r="A57" s="223" t="s">
        <v>421</v>
      </c>
      <c r="B57" s="224" t="s">
        <v>178</v>
      </c>
      <c r="C57" s="224">
        <v>16</v>
      </c>
      <c r="D57" s="224" t="s">
        <v>422</v>
      </c>
      <c r="E57" s="225" t="str">
        <f t="shared" ca="1" si="0"/>
        <v>R</v>
      </c>
      <c r="F57" s="347"/>
      <c r="G57" s="348">
        <f t="shared" ca="1" si="1"/>
        <v>40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364</v>
      </c>
      <c r="AR57" s="207" t="s">
        <v>146</v>
      </c>
      <c r="AS57" s="207">
        <v>18</v>
      </c>
      <c r="AT57" s="207" t="s">
        <v>365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34</v>
      </c>
      <c r="BF57" s="173" t="str">
        <f t="shared" ca="1" si="25"/>
        <v>NV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NVE</v>
      </c>
    </row>
    <row r="58" spans="1:61" ht="13.8" x14ac:dyDescent="0.25">
      <c r="A58" s="223" t="s">
        <v>310</v>
      </c>
      <c r="B58" s="224" t="s">
        <v>178</v>
      </c>
      <c r="C58" s="224">
        <v>16</v>
      </c>
      <c r="D58" s="224" t="s">
        <v>311</v>
      </c>
      <c r="E58" s="225" t="str">
        <f t="shared" ca="1" si="0"/>
        <v>R</v>
      </c>
      <c r="F58" s="347"/>
      <c r="G58" s="348">
        <f t="shared" ca="1" si="1"/>
        <v>68</v>
      </c>
      <c r="H58" s="349"/>
      <c r="I58" s="349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252</v>
      </c>
      <c r="AR58" s="207" t="s">
        <v>144</v>
      </c>
      <c r="AS58" s="207">
        <v>20</v>
      </c>
      <c r="AT58" s="207" t="s">
        <v>253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44</v>
      </c>
      <c r="BF58" s="173" t="str">
        <f t="shared" ca="1" si="25"/>
        <v>Puget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**PSD</v>
      </c>
    </row>
    <row r="59" spans="1:61" ht="13.8" x14ac:dyDescent="0.25">
      <c r="A59" s="223" t="s">
        <v>381</v>
      </c>
      <c r="B59" s="224" t="s">
        <v>192</v>
      </c>
      <c r="C59" s="224">
        <v>9</v>
      </c>
      <c r="D59" s="224" t="s">
        <v>369</v>
      </c>
      <c r="E59" s="225" t="str">
        <f t="shared" ca="1" si="0"/>
        <v>D</v>
      </c>
      <c r="F59" s="347"/>
      <c r="G59" s="348">
        <f t="shared" ca="1" si="1"/>
        <v>65</v>
      </c>
      <c r="H59" s="349"/>
      <c r="I59" s="349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256</v>
      </c>
      <c r="AR59" s="207" t="s">
        <v>144</v>
      </c>
      <c r="AS59" s="207">
        <v>20</v>
      </c>
      <c r="AT59" s="207" t="s">
        <v>257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ht="13.8" x14ac:dyDescent="0.25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" thickBot="1" x14ac:dyDescent="0.3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394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426</v>
      </c>
      <c r="B63" s="224" t="s">
        <v>171</v>
      </c>
      <c r="C63" s="224">
        <v>21</v>
      </c>
      <c r="D63" s="224" t="s">
        <v>427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8" x14ac:dyDescent="0.25">
      <c r="A64" s="223" t="s">
        <v>409</v>
      </c>
      <c r="B64" s="224" t="s">
        <v>178</v>
      </c>
      <c r="C64" s="224">
        <v>16</v>
      </c>
      <c r="D64" s="224" t="s">
        <v>410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394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 t="s">
        <v>411</v>
      </c>
      <c r="B65" s="229"/>
      <c r="C65" s="224"/>
      <c r="D65" s="224" t="s">
        <v>386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426</v>
      </c>
      <c r="AR65" s="207" t="s">
        <v>171</v>
      </c>
      <c r="AS65" s="207">
        <v>21</v>
      </c>
      <c r="AT65" s="207" t="s">
        <v>427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409</v>
      </c>
      <c r="AR66" s="207" t="s">
        <v>178</v>
      </c>
      <c r="AS66" s="207">
        <v>16</v>
      </c>
      <c r="AT66" s="207" t="s">
        <v>410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300</v>
      </c>
      <c r="AR67" s="207" t="s">
        <v>433</v>
      </c>
      <c r="AS67" s="207"/>
      <c r="AT67" s="207" t="s">
        <v>386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18.232142857142858</v>
      </c>
      <c r="D68" s="201"/>
      <c r="E68" s="201"/>
      <c r="F68" s="349"/>
      <c r="H68" s="349"/>
      <c r="I68" s="349"/>
      <c r="J68" s="350"/>
      <c r="K68" s="350"/>
      <c r="AQ68" s="207" t="s">
        <v>434</v>
      </c>
      <c r="AR68" s="207" t="s">
        <v>433</v>
      </c>
      <c r="AS68" s="207"/>
      <c r="AT68" s="207" t="s">
        <v>435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429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413</v>
      </c>
      <c r="D75" s="204"/>
      <c r="F75" s="206"/>
      <c r="H75" s="206"/>
      <c r="I75" s="206"/>
    </row>
    <row r="76" spans="1:58" x14ac:dyDescent="0.2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18.321428571428573</v>
      </c>
      <c r="E79" s="191"/>
      <c r="G79" s="352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-- 2012 Q2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8" hidden="1" outlineLevel="1" x14ac:dyDescent="0.25">
      <c r="A2" s="167"/>
      <c r="E2" s="171" t="str">
        <f>G2</f>
        <v>Reg_Percent_2011</v>
      </c>
      <c r="G2" s="172" t="s">
        <v>424</v>
      </c>
      <c r="AJ2" s="173" t="str">
        <f>AJ4 &amp; AJ3</f>
        <v>'Credit_2012Q1'!a:a</v>
      </c>
      <c r="AK2" s="173" t="str">
        <f>AK4 &amp; AK3</f>
        <v>'Credit_2012Q1'!b1</v>
      </c>
      <c r="AL2" s="173" t="str">
        <f>AL4 &amp; AL3</f>
        <v>'Credit_2012Q1'!c1</v>
      </c>
    </row>
    <row r="3" spans="1:61" ht="18" hidden="1" outlineLevel="1" x14ac:dyDescent="0.2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436</v>
      </c>
      <c r="AK4" s="169" t="str">
        <f>AJ4</f>
        <v>'Credit_2012Q1'!</v>
      </c>
      <c r="AL4" s="169" t="str">
        <f>AK4</f>
        <v>'Credit_2012Q1'!</v>
      </c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(57)</v>
      </c>
      <c r="M5" s="374"/>
      <c r="N5" s="230"/>
      <c r="O5" s="372" t="str">
        <f ca="1">"Regulated" &amp; CHAR( 10 ) &amp; "(" &amp; O14 &amp; ")"</f>
        <v>Regulated
(37)</v>
      </c>
      <c r="P5" s="376"/>
      <c r="Q5" s="230"/>
      <c r="R5" s="372" t="str">
        <f ca="1">"Mostly Regulated" &amp; CHAR( 10 ) &amp; "(" &amp; R14 &amp; ")"</f>
        <v>Mostly Regulated
(17)</v>
      </c>
      <c r="S5" s="376"/>
      <c r="T5" s="230"/>
      <c r="U5" s="372" t="str">
        <f ca="1">"Diversified" &amp; CHAR( 10 ) &amp; "(" &amp; U14 &amp; ")"</f>
        <v>Diversified
(2)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217</v>
      </c>
      <c r="B6" s="220" t="s">
        <v>49</v>
      </c>
      <c r="C6" s="249" t="s">
        <v>219</v>
      </c>
      <c r="D6" s="221"/>
      <c r="E6" s="222">
        <v>40908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298</v>
      </c>
      <c r="B7" s="224" t="s">
        <v>171</v>
      </c>
      <c r="C7" s="224">
        <v>21</v>
      </c>
      <c r="D7" s="224" t="s">
        <v>299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48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232</v>
      </c>
      <c r="B8" s="224" t="s">
        <v>144</v>
      </c>
      <c r="C8" s="224">
        <v>20</v>
      </c>
      <c r="D8" s="224" t="s">
        <v>233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142</v>
      </c>
      <c r="K8" s="233"/>
      <c r="L8" s="213">
        <f t="shared" ref="L8:L13" si="10">COUNTIF($C$7:$C$67,$X8)</f>
        <v>3</v>
      </c>
      <c r="M8" s="214">
        <f t="shared" ref="M8:M13" si="11">IF( L8 = 0, "", L8/L$14 )</f>
        <v>5.2631578947368418E-2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5.4054054054054057E-2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224</v>
      </c>
      <c r="AR8" s="207" t="s">
        <v>145</v>
      </c>
      <c r="AS8" s="207">
        <v>19</v>
      </c>
      <c r="AT8" s="207" t="s">
        <v>225</v>
      </c>
      <c r="AV8" s="168">
        <f t="shared" ref="AV8:AV63" si="21">IF( LEN( AS8 ) = 0, 99, RANK( AS8, $AS$7:$AS$63 ) )</f>
        <v>11</v>
      </c>
      <c r="AW8" s="168">
        <f>COUNTIF( AV$7:AV8, AV8 )</f>
        <v>2</v>
      </c>
      <c r="AX8" s="208">
        <f t="shared" ref="AX8:AX63" si="22">AV8 + AW8 / 10</f>
        <v>11.2</v>
      </c>
      <c r="AY8" s="168">
        <f t="shared" ref="AY8:AY63" si="23">RANK( AX8, $AX$7:$AX$63, 1 )</f>
        <v>12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8" x14ac:dyDescent="0.25">
      <c r="A9" s="223" t="s">
        <v>371</v>
      </c>
      <c r="B9" s="224" t="s">
        <v>144</v>
      </c>
      <c r="C9" s="224">
        <v>20</v>
      </c>
      <c r="D9" s="224" t="s">
        <v>199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0.15789473684210525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0.17647058823529413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147</v>
      </c>
      <c r="AS9" s="207">
        <v>17</v>
      </c>
      <c r="AT9" s="207" t="s">
        <v>231</v>
      </c>
      <c r="AV9" s="168">
        <f t="shared" si="21"/>
        <v>40</v>
      </c>
      <c r="AW9" s="168">
        <f>COUNTIF( AV$7:AV9, AV9 )</f>
        <v>1</v>
      </c>
      <c r="AX9" s="208">
        <f t="shared" si="22"/>
        <v>40.1</v>
      </c>
      <c r="AY9" s="168">
        <f t="shared" si="23"/>
        <v>40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8" x14ac:dyDescent="0.25">
      <c r="A10" s="223" t="s">
        <v>268</v>
      </c>
      <c r="B10" s="224" t="s">
        <v>144</v>
      </c>
      <c r="C10" s="224">
        <v>20</v>
      </c>
      <c r="D10" s="224" t="s">
        <v>269</v>
      </c>
      <c r="E10" s="225" t="str">
        <f t="shared" ca="1" si="0"/>
        <v>MR</v>
      </c>
      <c r="F10" s="347"/>
      <c r="G10" s="348">
        <f t="shared" ca="1" si="1"/>
        <v>22</v>
      </c>
      <c r="H10" s="349"/>
      <c r="I10" s="234"/>
      <c r="J10" s="215" t="s">
        <v>145</v>
      </c>
      <c r="K10" s="234"/>
      <c r="L10" s="215">
        <f t="shared" si="10"/>
        <v>13</v>
      </c>
      <c r="M10" s="216">
        <f t="shared" si="11"/>
        <v>0.22807017543859648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0.35294117647058826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24</v>
      </c>
      <c r="AW10" s="168">
        <f>COUNTIF( AV$7:AV10, AV10 )</f>
        <v>1</v>
      </c>
      <c r="AX10" s="208">
        <f t="shared" si="22"/>
        <v>24.1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14</v>
      </c>
      <c r="BF10" s="173" t="str">
        <f t="shared" ca="1" si="8"/>
        <v>Duke Energy Corporation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DUK</v>
      </c>
    </row>
    <row r="11" spans="1:61" ht="13.8" x14ac:dyDescent="0.25">
      <c r="A11" s="223" t="s">
        <v>405</v>
      </c>
      <c r="B11" s="224" t="s">
        <v>144</v>
      </c>
      <c r="C11" s="224">
        <v>20</v>
      </c>
      <c r="D11" s="224" t="s">
        <v>406</v>
      </c>
      <c r="E11" s="225" t="str">
        <f t="shared" ca="1" si="0"/>
        <v>R</v>
      </c>
      <c r="F11" s="347"/>
      <c r="G11" s="348">
        <f t="shared" ca="1" si="1"/>
        <v>32</v>
      </c>
      <c r="H11" s="349"/>
      <c r="I11" s="234"/>
      <c r="J11" s="215" t="s">
        <v>146</v>
      </c>
      <c r="K11" s="234"/>
      <c r="L11" s="215">
        <f t="shared" si="10"/>
        <v>16</v>
      </c>
      <c r="M11" s="216">
        <f t="shared" si="11"/>
        <v>0.2807017543859649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13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24</v>
      </c>
      <c r="AW11" s="168">
        <f>COUNTIF( AV$7:AV11, AV11 )</f>
        <v>2</v>
      </c>
      <c r="AX11" s="208">
        <f t="shared" si="22"/>
        <v>24.2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TEG</v>
      </c>
    </row>
    <row r="12" spans="1:61" ht="13.8" x14ac:dyDescent="0.25">
      <c r="A12" s="223" t="s">
        <v>245</v>
      </c>
      <c r="B12" s="224" t="s">
        <v>144</v>
      </c>
      <c r="C12" s="224">
        <v>20</v>
      </c>
      <c r="D12" s="224" t="s">
        <v>246</v>
      </c>
      <c r="E12" s="225" t="str">
        <f t="shared" ca="1" si="0"/>
        <v>MR</v>
      </c>
      <c r="F12" s="347"/>
      <c r="G12" s="348">
        <f t="shared" ca="1" si="1"/>
        <v>35</v>
      </c>
      <c r="H12" s="349"/>
      <c r="I12" s="234"/>
      <c r="J12" s="215" t="s">
        <v>147</v>
      </c>
      <c r="K12" s="234"/>
      <c r="L12" s="215">
        <f t="shared" si="10"/>
        <v>12</v>
      </c>
      <c r="M12" s="216">
        <f t="shared" si="11"/>
        <v>0.21052631578947367</v>
      </c>
      <c r="N12" s="234"/>
      <c r="O12" s="215">
        <f t="shared" ca="1" si="12"/>
        <v>7</v>
      </c>
      <c r="P12" s="216">
        <f t="shared" ca="1" si="13"/>
        <v>0.1891891891891892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0.5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40</v>
      </c>
      <c r="AW12" s="168">
        <f>COUNTIF( AV$7:AV12, AV12 )</f>
        <v>2</v>
      </c>
      <c r="AX12" s="208">
        <f t="shared" si="22"/>
        <v>40.200000000000003</v>
      </c>
      <c r="AY12" s="168">
        <f t="shared" si="23"/>
        <v>41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NEE</v>
      </c>
    </row>
    <row r="13" spans="1:61" ht="13.8" x14ac:dyDescent="0.25">
      <c r="A13" s="223" t="s">
        <v>404</v>
      </c>
      <c r="B13" s="224" t="s">
        <v>144</v>
      </c>
      <c r="C13" s="224">
        <v>20</v>
      </c>
      <c r="D13" s="224" t="s">
        <v>241</v>
      </c>
      <c r="E13" s="225" t="str">
        <f t="shared" ca="1" si="0"/>
        <v>R</v>
      </c>
      <c r="F13" s="347"/>
      <c r="G13" s="348">
        <f t="shared" ca="1" si="1"/>
        <v>37</v>
      </c>
      <c r="H13" s="349"/>
      <c r="I13" s="235"/>
      <c r="J13" s="217" t="s">
        <v>148</v>
      </c>
      <c r="K13" s="235"/>
      <c r="L13" s="217">
        <f t="shared" si="10"/>
        <v>4</v>
      </c>
      <c r="M13" s="218">
        <f t="shared" si="11"/>
        <v>7.0175438596491224E-2</v>
      </c>
      <c r="N13" s="235"/>
      <c r="O13" s="217">
        <f t="shared" ca="1" si="12"/>
        <v>3</v>
      </c>
      <c r="P13" s="218">
        <f t="shared" ca="1" si="13"/>
        <v>8.1081081081081086E-2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24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254</v>
      </c>
      <c r="AR13" s="207" t="s">
        <v>145</v>
      </c>
      <c r="AS13" s="207">
        <v>19</v>
      </c>
      <c r="AT13" s="207" t="s">
        <v>255</v>
      </c>
      <c r="AV13" s="168">
        <f t="shared" si="21"/>
        <v>11</v>
      </c>
      <c r="AW13" s="168">
        <f>COUNTIF( AV$7:AV13, AV13 )</f>
        <v>3</v>
      </c>
      <c r="AX13" s="208">
        <f t="shared" si="22"/>
        <v>11.3</v>
      </c>
      <c r="AY13" s="168">
        <f t="shared" si="23"/>
        <v>13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ES</v>
      </c>
    </row>
    <row r="14" spans="1:61" ht="13.8" x14ac:dyDescent="0.25">
      <c r="A14" s="223" t="s">
        <v>355</v>
      </c>
      <c r="B14" s="224" t="s">
        <v>144</v>
      </c>
      <c r="C14" s="224">
        <v>20</v>
      </c>
      <c r="D14" s="224" t="s">
        <v>356</v>
      </c>
      <c r="E14" s="225" t="str">
        <f t="shared" ca="1" si="0"/>
        <v>R</v>
      </c>
      <c r="F14" s="347"/>
      <c r="G14" s="348">
        <f t="shared" ca="1" si="1"/>
        <v>58</v>
      </c>
      <c r="H14" s="349"/>
      <c r="I14" s="236"/>
      <c r="J14" s="211" t="s">
        <v>149</v>
      </c>
      <c r="K14" s="236"/>
      <c r="L14" s="211">
        <f>SUM(L8:L13)</f>
        <v>57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18.350877192982455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388</v>
      </c>
      <c r="AV14" s="168">
        <f>IF( LEN( AS14 ) = 0, 99, RANK( AS14, $AS$7:$AS$63 ) )</f>
        <v>24</v>
      </c>
      <c r="AW14" s="168">
        <f>COUNTIF( AV$7:AV14, AV14 )</f>
        <v>3</v>
      </c>
      <c r="AX14" s="208">
        <f t="shared" si="22"/>
        <v>24.3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51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VVC</v>
      </c>
    </row>
    <row r="15" spans="1:61" ht="13.8" x14ac:dyDescent="0.2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0"/>
        <v>R</v>
      </c>
      <c r="F15" s="347"/>
      <c r="G15" s="348">
        <f t="shared" ca="1" si="1"/>
        <v>60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147</v>
      </c>
      <c r="AS15" s="207">
        <v>17</v>
      </c>
      <c r="AT15" s="207" t="s">
        <v>262</v>
      </c>
      <c r="AV15" s="168">
        <f t="shared" si="21"/>
        <v>40</v>
      </c>
      <c r="AW15" s="168">
        <f>COUNTIF( AV$7:AV15, AV15 )</f>
        <v>3</v>
      </c>
      <c r="AX15" s="208">
        <f t="shared" si="22"/>
        <v>40.299999999999997</v>
      </c>
      <c r="AY15" s="168">
        <f t="shared" si="23"/>
        <v>42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WEC</v>
      </c>
    </row>
    <row r="16" spans="1:61" ht="13.8" x14ac:dyDescent="0.2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0"/>
        <v>R</v>
      </c>
      <c r="F16" s="347"/>
      <c r="G16" s="348">
        <f t="shared" ca="1" si="1"/>
        <v>61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18.263157894736842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18.297297297297298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18.764705882352942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18</v>
      </c>
      <c r="V16" s="371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XEL</v>
      </c>
    </row>
    <row r="17" spans="1:61" ht="13.8" x14ac:dyDescent="0.25">
      <c r="A17" s="223" t="s">
        <v>222</v>
      </c>
      <c r="B17" s="224" t="s">
        <v>145</v>
      </c>
      <c r="C17" s="224">
        <v>19</v>
      </c>
      <c r="D17" s="224" t="s">
        <v>223</v>
      </c>
      <c r="E17" s="225" t="str">
        <f t="shared" ca="1" si="0"/>
        <v>R</v>
      </c>
      <c r="F17" s="347"/>
      <c r="G17" s="348">
        <f t="shared" ca="1" si="1"/>
        <v>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371</v>
      </c>
      <c r="AR17" s="207" t="s">
        <v>144</v>
      </c>
      <c r="AS17" s="207">
        <v>20</v>
      </c>
      <c r="AT17" s="207" t="s">
        <v>199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ALE</v>
      </c>
    </row>
    <row r="18" spans="1:61" ht="13.8" x14ac:dyDescent="0.25">
      <c r="A18" s="223" t="s">
        <v>224</v>
      </c>
      <c r="B18" s="224" t="s">
        <v>145</v>
      </c>
      <c r="C18" s="224">
        <v>19</v>
      </c>
      <c r="D18" s="224" t="s">
        <v>225</v>
      </c>
      <c r="E18" s="225" t="str">
        <f t="shared" ca="1" si="0"/>
        <v>R</v>
      </c>
      <c r="F18" s="347"/>
      <c r="G18" s="348">
        <f t="shared" ca="1" si="1"/>
        <v>8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147</v>
      </c>
      <c r="AS18" s="207">
        <v>17</v>
      </c>
      <c r="AT18" s="207" t="s">
        <v>265</v>
      </c>
      <c r="AV18" s="168">
        <f t="shared" si="21"/>
        <v>40</v>
      </c>
      <c r="AW18" s="168">
        <f>COUNTIF( AV$7:AV18, AV18 )</f>
        <v>4</v>
      </c>
      <c r="AX18" s="208">
        <f t="shared" si="22"/>
        <v>40.4</v>
      </c>
      <c r="AY18" s="168">
        <f t="shared" si="23"/>
        <v>43</v>
      </c>
      <c r="AZ18" s="169"/>
      <c r="BA18" s="169"/>
      <c r="BC18" s="168">
        <f t="shared" ca="1" si="24"/>
        <v>12</v>
      </c>
      <c r="BD18" s="209">
        <f t="shared" ca="1" si="7"/>
        <v>2</v>
      </c>
      <c r="BF18" s="173" t="str">
        <f t="shared" ca="1" si="8"/>
        <v>Alliant Energy Corporation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LNT</v>
      </c>
    </row>
    <row r="19" spans="1:61" ht="13.8" x14ac:dyDescent="0.25">
      <c r="A19" s="223" t="s">
        <v>254</v>
      </c>
      <c r="B19" s="224" t="s">
        <v>145</v>
      </c>
      <c r="C19" s="224">
        <v>19</v>
      </c>
      <c r="D19" s="224" t="s">
        <v>255</v>
      </c>
      <c r="E19" s="225" t="str">
        <f t="shared" ca="1" si="0"/>
        <v>MR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11</v>
      </c>
      <c r="AW19" s="168">
        <f>COUNTIF( AV$7:AV19, AV19 )</f>
        <v>4</v>
      </c>
      <c r="AX19" s="208">
        <f t="shared" si="22"/>
        <v>11.4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7</v>
      </c>
      <c r="BF19" s="173" t="str">
        <f t="shared" ca="1" si="8"/>
        <v>CenterPoint Energy,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CNP</v>
      </c>
    </row>
    <row r="20" spans="1:61" ht="13.8" x14ac:dyDescent="0.25">
      <c r="A20" s="223" t="s">
        <v>266</v>
      </c>
      <c r="B20" s="224" t="s">
        <v>145</v>
      </c>
      <c r="C20" s="224">
        <v>19</v>
      </c>
      <c r="D20" s="224" t="s">
        <v>267</v>
      </c>
      <c r="E20" s="225" t="str">
        <f t="shared" ca="1" si="0"/>
        <v>R</v>
      </c>
      <c r="F20" s="347"/>
      <c r="G20" s="348">
        <f t="shared" ca="1" si="1"/>
        <v>21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21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144</v>
      </c>
      <c r="AS20" s="207">
        <v>20</v>
      </c>
      <c r="AT20" s="207" t="s">
        <v>269</v>
      </c>
      <c r="AV20" s="168">
        <f t="shared" si="21"/>
        <v>2</v>
      </c>
      <c r="AW20" s="168">
        <f>COUNTIF( AV$7:AV20, AV20 )</f>
        <v>3</v>
      </c>
      <c r="AX20" s="208">
        <f t="shared" si="22"/>
        <v>2.2999999999999998</v>
      </c>
      <c r="AY20" s="168">
        <f t="shared" si="23"/>
        <v>4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ht="13.8" x14ac:dyDescent="0.25">
      <c r="A21" s="223" t="s">
        <v>397</v>
      </c>
      <c r="B21" s="224" t="s">
        <v>145</v>
      </c>
      <c r="C21" s="224">
        <v>19</v>
      </c>
      <c r="D21" s="224" t="s">
        <v>398</v>
      </c>
      <c r="E21" s="225" t="str">
        <f t="shared" ca="1" si="0"/>
        <v>R</v>
      </c>
      <c r="F21" s="347"/>
      <c r="G21" s="348">
        <f t="shared" ca="1" si="1"/>
        <v>63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>
        <f t="shared" ca="1" si="19"/>
        <v>1</v>
      </c>
      <c r="AJ21" s="169">
        <f t="shared" ca="1" si="4"/>
        <v>12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5"/>
        <v>Change</v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40</v>
      </c>
      <c r="AW21" s="168">
        <f>COUNTIF( AV$7:AV21, AV21 )</f>
        <v>5</v>
      </c>
      <c r="AX21" s="208">
        <f t="shared" si="22"/>
        <v>40.5</v>
      </c>
      <c r="AY21" s="168">
        <f t="shared" si="23"/>
        <v>44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ht="13.8" x14ac:dyDescent="0.25">
      <c r="A22" s="223" t="s">
        <v>276</v>
      </c>
      <c r="B22" s="224" t="s">
        <v>145</v>
      </c>
      <c r="C22" s="224">
        <v>19</v>
      </c>
      <c r="D22" s="224" t="s">
        <v>277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338</v>
      </c>
      <c r="AR22" s="207" t="s">
        <v>146</v>
      </c>
      <c r="AS22" s="207">
        <v>18</v>
      </c>
      <c r="AT22" s="207" t="s">
        <v>341</v>
      </c>
      <c r="AV22" s="168">
        <f t="shared" si="21"/>
        <v>24</v>
      </c>
      <c r="AW22" s="168">
        <f>COUNTIF( AV$7:AV22, AV22 )</f>
        <v>4</v>
      </c>
      <c r="AX22" s="208">
        <f t="shared" si="22"/>
        <v>24.4</v>
      </c>
      <c r="AY22" s="168">
        <f t="shared" si="23"/>
        <v>27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8" x14ac:dyDescent="0.25">
      <c r="A23" s="223" t="s">
        <v>418</v>
      </c>
      <c r="B23" s="224" t="s">
        <v>145</v>
      </c>
      <c r="C23" s="224">
        <v>19</v>
      </c>
      <c r="D23" s="224" t="s">
        <v>221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377</v>
      </c>
      <c r="AR23" s="207" t="s">
        <v>147</v>
      </c>
      <c r="AS23" s="207">
        <v>17</v>
      </c>
      <c r="AT23" s="207" t="s">
        <v>378</v>
      </c>
      <c r="AV23" s="168">
        <f t="shared" si="21"/>
        <v>40</v>
      </c>
      <c r="AW23" s="168">
        <f>COUNTIF( AV$7:AV23, AV23 )</f>
        <v>6</v>
      </c>
      <c r="AX23" s="208">
        <f t="shared" si="22"/>
        <v>40.6</v>
      </c>
      <c r="AY23" s="168">
        <f t="shared" si="23"/>
        <v>45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8" x14ac:dyDescent="0.25">
      <c r="A24" s="223" t="s">
        <v>282</v>
      </c>
      <c r="B24" s="224" t="s">
        <v>145</v>
      </c>
      <c r="C24" s="224">
        <v>19</v>
      </c>
      <c r="D24" s="224" t="s">
        <v>283</v>
      </c>
      <c r="E24" s="225" t="str">
        <f t="shared" ca="1" si="0"/>
        <v>MR</v>
      </c>
      <c r="F24" s="347"/>
      <c r="G24" s="348">
        <f t="shared" ca="1" si="1"/>
        <v>41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381</v>
      </c>
      <c r="AR24" s="207" t="s">
        <v>192</v>
      </c>
      <c r="AS24" s="207">
        <v>9</v>
      </c>
      <c r="AT24" s="207" t="s">
        <v>369</v>
      </c>
      <c r="AV24" s="168">
        <f t="shared" si="21"/>
        <v>54</v>
      </c>
      <c r="AW24" s="168">
        <f>COUNTIF( AV$7:AV24, AV24 )</f>
        <v>1</v>
      </c>
      <c r="AX24" s="208">
        <f t="shared" si="22"/>
        <v>54.1</v>
      </c>
      <c r="AY24" s="168">
        <f t="shared" si="23"/>
        <v>54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ht="13.8" x14ac:dyDescent="0.25">
      <c r="A25" s="223" t="s">
        <v>392</v>
      </c>
      <c r="B25" s="224" t="s">
        <v>145</v>
      </c>
      <c r="C25" s="224">
        <v>19</v>
      </c>
      <c r="D25" s="224" t="s">
        <v>393</v>
      </c>
      <c r="E25" s="225" t="str">
        <f t="shared" ca="1" si="0"/>
        <v>MR</v>
      </c>
      <c r="F25" s="347"/>
      <c r="G25" s="348">
        <f t="shared" ca="1" si="1"/>
        <v>43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24</v>
      </c>
      <c r="AW25" s="168">
        <f>COUNTIF( AV$7:AV25, AV25 )</f>
        <v>5</v>
      </c>
      <c r="AX25" s="208">
        <f t="shared" si="22"/>
        <v>24.5</v>
      </c>
      <c r="AY25" s="168">
        <f t="shared" si="23"/>
        <v>28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ht="13.8" x14ac:dyDescent="0.25">
      <c r="A26" s="223" t="s">
        <v>437</v>
      </c>
      <c r="B26" s="224" t="s">
        <v>145</v>
      </c>
      <c r="C26" s="224">
        <v>19</v>
      </c>
      <c r="D26" s="224" t="s">
        <v>438</v>
      </c>
      <c r="E26" s="225" t="str">
        <f t="shared" ca="1" si="0"/>
        <v>R</v>
      </c>
      <c r="F26" s="347"/>
      <c r="G26" s="348">
        <f t="shared" ca="1" si="1"/>
        <v>49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24</v>
      </c>
      <c r="AW26" s="168">
        <f>COUNTIF( AV$7:AV26, AV26 )</f>
        <v>6</v>
      </c>
      <c r="AX26" s="208">
        <f t="shared" si="22"/>
        <v>24.6</v>
      </c>
      <c r="AY26" s="168">
        <f t="shared" si="23"/>
        <v>29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Progress Energy,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PGN</v>
      </c>
    </row>
    <row r="27" spans="1:61" ht="13.8" x14ac:dyDescent="0.25">
      <c r="A27" s="223" t="s">
        <v>357</v>
      </c>
      <c r="B27" s="224" t="s">
        <v>145</v>
      </c>
      <c r="C27" s="224">
        <v>19</v>
      </c>
      <c r="D27" s="224" t="s">
        <v>358</v>
      </c>
      <c r="E27" s="225" t="str">
        <f t="shared" ca="1" si="0"/>
        <v>MR</v>
      </c>
      <c r="F27" s="347"/>
      <c r="G27" s="348">
        <f t="shared" ca="1" si="1"/>
        <v>51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40</v>
      </c>
      <c r="AW27" s="168">
        <f>COUNTIF( AV$7:AV27, AV27 )</f>
        <v>7</v>
      </c>
      <c r="AX27" s="208">
        <f t="shared" si="22"/>
        <v>40.700000000000003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ht="13.8" x14ac:dyDescent="0.25">
      <c r="A28" s="223" t="s">
        <v>296</v>
      </c>
      <c r="B28" s="224" t="s">
        <v>145</v>
      </c>
      <c r="C28" s="224">
        <v>19</v>
      </c>
      <c r="D28" s="224" t="s">
        <v>297</v>
      </c>
      <c r="E28" s="225" t="str">
        <f t="shared" ca="1" si="0"/>
        <v>MR</v>
      </c>
      <c r="F28" s="347"/>
      <c r="G28" s="348">
        <f t="shared" ca="1" si="1"/>
        <v>52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362</v>
      </c>
      <c r="AR28" s="207" t="s">
        <v>146</v>
      </c>
      <c r="AS28" s="207">
        <v>18</v>
      </c>
      <c r="AT28" s="207" t="s">
        <v>363</v>
      </c>
      <c r="AV28" s="168">
        <f t="shared" si="21"/>
        <v>24</v>
      </c>
      <c r="AW28" s="168">
        <f>COUNTIF( AV$7:AV28, AV28 )</f>
        <v>7</v>
      </c>
      <c r="AX28" s="208">
        <f t="shared" si="22"/>
        <v>24.7</v>
      </c>
      <c r="AY28" s="168">
        <f t="shared" si="23"/>
        <v>30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ht="13.8" x14ac:dyDescent="0.25">
      <c r="A29" s="223" t="s">
        <v>379</v>
      </c>
      <c r="B29" s="224" t="s">
        <v>145</v>
      </c>
      <c r="C29" s="224">
        <v>19</v>
      </c>
      <c r="D29" s="224" t="s">
        <v>385</v>
      </c>
      <c r="E29" s="225" t="str">
        <f t="shared" ca="1" si="0"/>
        <v>R</v>
      </c>
      <c r="F29" s="347"/>
      <c r="G29" s="348">
        <f t="shared" ca="1" si="1"/>
        <v>54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40</v>
      </c>
      <c r="AW29" s="168">
        <f>COUNTIF( AV$7:AV29, AV29 )</f>
        <v>8</v>
      </c>
      <c r="AX29" s="208">
        <f t="shared" si="22"/>
        <v>40.799999999999997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49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ht="13.8" x14ac:dyDescent="0.25">
      <c r="A30" s="223" t="s">
        <v>227</v>
      </c>
      <c r="B30" s="224" t="s">
        <v>146</v>
      </c>
      <c r="C30" s="224">
        <v>18</v>
      </c>
      <c r="D30" s="224" t="s">
        <v>228</v>
      </c>
      <c r="E30" s="225" t="str">
        <f t="shared" ca="1" si="0"/>
        <v>R</v>
      </c>
      <c r="F30" s="347"/>
      <c r="G30" s="348">
        <f t="shared" ca="1" si="1"/>
        <v>10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397</v>
      </c>
      <c r="AR30" s="207" t="s">
        <v>145</v>
      </c>
      <c r="AS30" s="207">
        <v>19</v>
      </c>
      <c r="AT30" s="207" t="s">
        <v>398</v>
      </c>
      <c r="AV30" s="168">
        <f t="shared" si="21"/>
        <v>11</v>
      </c>
      <c r="AW30" s="168">
        <f>COUNTIF( AV$7:AV30, AV30 )</f>
        <v>5</v>
      </c>
      <c r="AX30" s="208">
        <f t="shared" si="22"/>
        <v>11.5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AEP</v>
      </c>
    </row>
    <row r="31" spans="1:61" ht="13.8" x14ac:dyDescent="0.25">
      <c r="A31" s="223" t="s">
        <v>243</v>
      </c>
      <c r="B31" s="224" t="s">
        <v>146</v>
      </c>
      <c r="C31" s="224">
        <v>18</v>
      </c>
      <c r="D31" s="224" t="s">
        <v>244</v>
      </c>
      <c r="E31" s="225" t="str">
        <f t="shared" ca="1" si="0"/>
        <v>R</v>
      </c>
      <c r="F31" s="347"/>
      <c r="G31" s="348">
        <f t="shared" ca="1" si="1"/>
        <v>11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24</v>
      </c>
      <c r="AW31" s="168">
        <f>COUNTIF( AV$7:AV31, AV31 )</f>
        <v>8</v>
      </c>
      <c r="AX31" s="208">
        <f t="shared" si="22"/>
        <v>24.8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AVA</v>
      </c>
    </row>
    <row r="32" spans="1:61" ht="13.8" x14ac:dyDescent="0.25">
      <c r="A32" s="223" t="s">
        <v>259</v>
      </c>
      <c r="B32" s="224" t="s">
        <v>146</v>
      </c>
      <c r="C32" s="224">
        <v>18</v>
      </c>
      <c r="D32" s="224" t="s">
        <v>388</v>
      </c>
      <c r="E32" s="225" t="str">
        <f t="shared" ca="1" si="0"/>
        <v>R</v>
      </c>
      <c r="F32" s="347"/>
      <c r="G32" s="348">
        <f t="shared" ca="1" si="1"/>
        <v>16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CNL</v>
      </c>
    </row>
    <row r="33" spans="1:61" ht="13.8" x14ac:dyDescent="0.25">
      <c r="A33" s="223" t="s">
        <v>338</v>
      </c>
      <c r="B33" s="224" t="s">
        <v>146</v>
      </c>
      <c r="C33" s="224">
        <v>18</v>
      </c>
      <c r="D33" s="224" t="s">
        <v>341</v>
      </c>
      <c r="E33" s="225" t="str">
        <f t="shared" ca="1" si="0"/>
        <v>R</v>
      </c>
      <c r="F33" s="347"/>
      <c r="G33" s="348">
        <f t="shared" ca="1" si="1"/>
        <v>24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40</v>
      </c>
      <c r="AW33" s="168">
        <f>COUNTIF( AV$7:AV33, AV33 )</f>
        <v>9</v>
      </c>
      <c r="AX33" s="208">
        <f t="shared" si="22"/>
        <v>40.9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16</v>
      </c>
      <c r="BF33" s="173" t="str">
        <f t="shared" ca="1" si="8"/>
        <v>El Paso Electric Company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EE</v>
      </c>
    </row>
    <row r="34" spans="1:61" ht="13.8" x14ac:dyDescent="0.25">
      <c r="A34" s="223" t="s">
        <v>272</v>
      </c>
      <c r="B34" s="224" t="s">
        <v>146</v>
      </c>
      <c r="C34" s="224">
        <v>18</v>
      </c>
      <c r="D34" s="224" t="s">
        <v>273</v>
      </c>
      <c r="E34" s="225" t="str">
        <f t="shared" ca="1" si="0"/>
        <v>R</v>
      </c>
      <c r="F34" s="347"/>
      <c r="G34" s="348">
        <f t="shared" ca="1" si="1"/>
        <v>26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11</v>
      </c>
      <c r="AW34" s="168">
        <f>COUNTIF( AV$7:AV34, AV34 )</f>
        <v>6</v>
      </c>
      <c r="AX34" s="208">
        <f t="shared" si="22"/>
        <v>11.6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19</v>
      </c>
      <c r="BF34" s="173" t="str">
        <f t="shared" ca="1" si="8"/>
        <v>Entergy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ETR</v>
      </c>
    </row>
    <row r="35" spans="1:61" ht="13.8" x14ac:dyDescent="0.25">
      <c r="A35" s="223" t="s">
        <v>274</v>
      </c>
      <c r="B35" s="224" t="s">
        <v>146</v>
      </c>
      <c r="C35" s="224">
        <v>18</v>
      </c>
      <c r="D35" s="224" t="s">
        <v>275</v>
      </c>
      <c r="E35" s="225" t="str">
        <f t="shared" ca="1" si="0"/>
        <v>MR</v>
      </c>
      <c r="F35" s="347"/>
      <c r="G35" s="348">
        <f t="shared" ca="1" si="1"/>
        <v>27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418</v>
      </c>
      <c r="AR35" s="207" t="s">
        <v>145</v>
      </c>
      <c r="AS35" s="207">
        <v>19</v>
      </c>
      <c r="AT35" s="207" t="s">
        <v>221</v>
      </c>
      <c r="AV35" s="168">
        <f t="shared" si="21"/>
        <v>11</v>
      </c>
      <c r="AW35" s="168">
        <f>COUNTIF( AV$7:AV35, AV35 )</f>
        <v>7</v>
      </c>
      <c r="AX35" s="208">
        <f t="shared" si="22"/>
        <v>11.7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20</v>
      </c>
      <c r="BF35" s="173" t="str">
        <f t="shared" ca="1" si="8"/>
        <v>Exelon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EXC</v>
      </c>
    </row>
    <row r="36" spans="1:61" ht="13.8" x14ac:dyDescent="0.25">
      <c r="A36" s="223" t="s">
        <v>362</v>
      </c>
      <c r="B36" s="224" t="s">
        <v>146</v>
      </c>
      <c r="C36" s="224">
        <v>18</v>
      </c>
      <c r="D36" s="224" t="s">
        <v>363</v>
      </c>
      <c r="E36" s="225" t="str">
        <f t="shared" ca="1" si="0"/>
        <v>R</v>
      </c>
      <c r="F36" s="347"/>
      <c r="G36" s="348">
        <f t="shared" ca="1" si="1"/>
        <v>29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22</v>
      </c>
      <c r="BF36" s="173" t="str">
        <f t="shared" ca="1" si="8"/>
        <v>Great Plains Energy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GXP</v>
      </c>
    </row>
    <row r="37" spans="1:61" ht="13.8" x14ac:dyDescent="0.25">
      <c r="A37" s="223" t="s">
        <v>288</v>
      </c>
      <c r="B37" s="224" t="s">
        <v>146</v>
      </c>
      <c r="C37" s="224">
        <v>18</v>
      </c>
      <c r="D37" s="224" t="s">
        <v>289</v>
      </c>
      <c r="E37" s="225" t="str">
        <f t="shared" ca="1" si="0"/>
        <v>R</v>
      </c>
      <c r="F37" s="347"/>
      <c r="G37" s="348">
        <f t="shared" ca="1" si="1"/>
        <v>31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40</v>
      </c>
      <c r="AW37" s="168">
        <f>COUNTIF( AV$7:AV37, AV37 )</f>
        <v>10</v>
      </c>
      <c r="AX37" s="208">
        <f t="shared" si="22"/>
        <v>41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ht="13.8" x14ac:dyDescent="0.25">
      <c r="A38" s="223" t="s">
        <v>302</v>
      </c>
      <c r="B38" s="224" t="s">
        <v>146</v>
      </c>
      <c r="C38" s="224">
        <v>18</v>
      </c>
      <c r="D38" s="224" t="s">
        <v>303</v>
      </c>
      <c r="E38" s="225" t="str">
        <f t="shared" ca="1" si="0"/>
        <v>R</v>
      </c>
      <c r="F38" s="347"/>
      <c r="G38" s="348">
        <f t="shared" ca="1" si="1"/>
        <v>38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404</v>
      </c>
      <c r="AR38" s="207" t="s">
        <v>144</v>
      </c>
      <c r="AS38" s="207">
        <v>20</v>
      </c>
      <c r="AT38" s="207" t="s">
        <v>241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ht="13.8" x14ac:dyDescent="0.25">
      <c r="A39" s="223" t="s">
        <v>306</v>
      </c>
      <c r="B39" s="224" t="s">
        <v>146</v>
      </c>
      <c r="C39" s="224">
        <v>18</v>
      </c>
      <c r="D39" s="224" t="s">
        <v>307</v>
      </c>
      <c r="E39" s="225" t="str">
        <f t="shared" ca="1" si="0"/>
        <v>R</v>
      </c>
      <c r="F39" s="347"/>
      <c r="G39" s="348">
        <f t="shared" ca="1" si="1"/>
        <v>44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24</v>
      </c>
      <c r="AW39" s="168">
        <f>COUNTIF( AV$7:AV39, AV39 )</f>
        <v>9</v>
      </c>
      <c r="AX39" s="208">
        <f t="shared" si="22"/>
        <v>24.9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25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ht="13.8" x14ac:dyDescent="0.25">
      <c r="A40" s="223" t="s">
        <v>286</v>
      </c>
      <c r="B40" s="224" t="s">
        <v>146</v>
      </c>
      <c r="C40" s="224">
        <v>18</v>
      </c>
      <c r="D40" s="224" t="s">
        <v>287</v>
      </c>
      <c r="E40" s="225" t="str">
        <f t="shared" ca="1" si="0"/>
        <v>R</v>
      </c>
      <c r="F40" s="347"/>
      <c r="G40" s="348">
        <f t="shared" ca="1" si="1"/>
        <v>45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421</v>
      </c>
      <c r="AR40" s="207" t="s">
        <v>178</v>
      </c>
      <c r="AS40" s="207">
        <v>16</v>
      </c>
      <c r="AT40" s="207" t="s">
        <v>422</v>
      </c>
      <c r="AV40" s="168">
        <f t="shared" si="21"/>
        <v>52</v>
      </c>
      <c r="AW40" s="168">
        <f>COUNTIF( AV$7:AV40, AV40 )</f>
        <v>1</v>
      </c>
      <c r="AX40" s="208">
        <f t="shared" si="22"/>
        <v>52.1</v>
      </c>
      <c r="AY40" s="168">
        <f t="shared" si="23"/>
        <v>52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Pinnacle West Capital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PNW</v>
      </c>
    </row>
    <row r="41" spans="1:61" ht="13.8" x14ac:dyDescent="0.25">
      <c r="A41" s="223" t="s">
        <v>290</v>
      </c>
      <c r="B41" s="224" t="s">
        <v>146</v>
      </c>
      <c r="C41" s="224">
        <v>18</v>
      </c>
      <c r="D41" s="224" t="s">
        <v>291</v>
      </c>
      <c r="E41" s="225" t="str">
        <f t="shared" ca="1" si="0"/>
        <v>R</v>
      </c>
      <c r="F41" s="347"/>
      <c r="G41" s="348">
        <f t="shared" ca="1" si="1"/>
        <v>47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282</v>
      </c>
      <c r="AR41" s="207" t="s">
        <v>145</v>
      </c>
      <c r="AS41" s="207">
        <v>19</v>
      </c>
      <c r="AT41" s="207" t="s">
        <v>283</v>
      </c>
      <c r="AV41" s="168">
        <f t="shared" si="21"/>
        <v>11</v>
      </c>
      <c r="AW41" s="168">
        <f>COUNTIF( AV$7:AV41, AV41 )</f>
        <v>8</v>
      </c>
      <c r="AX41" s="208">
        <f t="shared" si="22"/>
        <v>11.8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41</v>
      </c>
      <c r="BF41" s="173" t="str">
        <f t="shared" ca="1" si="25"/>
        <v>Portland General Electric Company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POR</v>
      </c>
    </row>
    <row r="42" spans="1:61" ht="13.8" x14ac:dyDescent="0.25">
      <c r="A42" s="223" t="s">
        <v>248</v>
      </c>
      <c r="B42" s="224" t="s">
        <v>146</v>
      </c>
      <c r="C42" s="224">
        <v>18</v>
      </c>
      <c r="D42" s="224" t="s">
        <v>249</v>
      </c>
      <c r="E42" s="225" t="str">
        <f t="shared" ca="1" si="0"/>
        <v>MR</v>
      </c>
      <c r="F42" s="347"/>
      <c r="G42" s="348">
        <f t="shared" ca="1" si="1"/>
        <v>48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304</v>
      </c>
      <c r="AR42" s="207" t="s">
        <v>147</v>
      </c>
      <c r="AS42" s="207">
        <v>17</v>
      </c>
      <c r="AT42" s="207" t="s">
        <v>305</v>
      </c>
      <c r="AV42" s="168">
        <f t="shared" si="21"/>
        <v>40</v>
      </c>
      <c r="AW42" s="168">
        <f>COUNTIF( AV$7:AV42, AV42 )</f>
        <v>11</v>
      </c>
      <c r="AX42" s="208">
        <f t="shared" si="22"/>
        <v>41.1</v>
      </c>
      <c r="AY42" s="168">
        <f t="shared" si="23"/>
        <v>50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PPL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PPL</v>
      </c>
    </row>
    <row r="43" spans="1:61" ht="13.8" x14ac:dyDescent="0.25">
      <c r="A43" s="223" t="s">
        <v>294</v>
      </c>
      <c r="B43" s="224" t="s">
        <v>146</v>
      </c>
      <c r="C43" s="224">
        <v>18</v>
      </c>
      <c r="D43" s="224" t="s">
        <v>295</v>
      </c>
      <c r="E43" s="225" t="str">
        <f t="shared" ca="1" si="0"/>
        <v>MR</v>
      </c>
      <c r="F43" s="347"/>
      <c r="G43" s="348">
        <f t="shared" ca="1" si="1"/>
        <v>50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392</v>
      </c>
      <c r="AR43" s="207" t="s">
        <v>145</v>
      </c>
      <c r="AS43" s="207">
        <v>19</v>
      </c>
      <c r="AT43" s="207" t="s">
        <v>393</v>
      </c>
      <c r="AV43" s="168">
        <f t="shared" si="21"/>
        <v>11</v>
      </c>
      <c r="AW43" s="168">
        <f>COUNTIF( AV$7:AV43, AV43 )</f>
        <v>9</v>
      </c>
      <c r="AX43" s="208">
        <f t="shared" si="22"/>
        <v>11.9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44</v>
      </c>
      <c r="BF43" s="173" t="str">
        <f t="shared" ca="1" si="25"/>
        <v>Public Service Enterprise Group Incorporated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PEG</v>
      </c>
    </row>
    <row r="44" spans="1:61" ht="13.8" x14ac:dyDescent="0.25">
      <c r="A44" s="223" t="s">
        <v>399</v>
      </c>
      <c r="B44" s="224" t="s">
        <v>146</v>
      </c>
      <c r="C44" s="224">
        <v>18</v>
      </c>
      <c r="D44" s="224" t="s">
        <v>400</v>
      </c>
      <c r="E44" s="225" t="str">
        <f t="shared" ca="1" si="0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306</v>
      </c>
      <c r="AR44" s="207" t="s">
        <v>146</v>
      </c>
      <c r="AS44" s="207">
        <v>18</v>
      </c>
      <c r="AT44" s="207" t="s">
        <v>307</v>
      </c>
      <c r="AV44" s="168">
        <f t="shared" si="21"/>
        <v>24</v>
      </c>
      <c r="AW44" s="168">
        <f>COUNTIF( AV$7:AV44, AV44 )</f>
        <v>10</v>
      </c>
      <c r="AX44" s="208">
        <f t="shared" si="22"/>
        <v>25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50</v>
      </c>
      <c r="BF44" s="173" t="str">
        <f t="shared" ca="1" si="25"/>
        <v>UIL Holdings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UIL</v>
      </c>
    </row>
    <row r="45" spans="1:61" ht="13.8" x14ac:dyDescent="0.25">
      <c r="A45" s="223" t="s">
        <v>364</v>
      </c>
      <c r="B45" s="224" t="s">
        <v>146</v>
      </c>
      <c r="C45" s="224">
        <v>18</v>
      </c>
      <c r="D45" s="224" t="s">
        <v>365</v>
      </c>
      <c r="E45" s="225" t="str">
        <f t="shared" ca="1" si="0"/>
        <v>R</v>
      </c>
      <c r="F45" s="347"/>
      <c r="G45" s="348">
        <f t="shared" ca="1" si="1"/>
        <v>59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286</v>
      </c>
      <c r="AR45" s="207" t="s">
        <v>146</v>
      </c>
      <c r="AS45" s="207">
        <v>18</v>
      </c>
      <c r="AT45" s="207" t="s">
        <v>287</v>
      </c>
      <c r="AV45" s="168">
        <f t="shared" si="21"/>
        <v>24</v>
      </c>
      <c r="AW45" s="168">
        <f>COUNTIF( AV$7:AV45, AV45 )</f>
        <v>11</v>
      </c>
      <c r="AX45" s="208">
        <f t="shared" si="22"/>
        <v>25.1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52</v>
      </c>
      <c r="BF45" s="173" t="str">
        <f t="shared" ca="1" si="25"/>
        <v>Westar Energy,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WR</v>
      </c>
    </row>
    <row r="46" spans="1:61" ht="13.8" x14ac:dyDescent="0.25">
      <c r="A46" s="223" t="s">
        <v>230</v>
      </c>
      <c r="B46" s="224" t="s">
        <v>147</v>
      </c>
      <c r="C46" s="224">
        <v>17</v>
      </c>
      <c r="D46" s="224" t="s">
        <v>231</v>
      </c>
      <c r="E46" s="225" t="str">
        <f t="shared" ca="1" si="0"/>
        <v>R</v>
      </c>
      <c r="F46" s="347"/>
      <c r="G46" s="348">
        <f t="shared" ca="1" si="1"/>
        <v>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308</v>
      </c>
      <c r="AR46" s="207" t="s">
        <v>147</v>
      </c>
      <c r="AS46" s="207">
        <v>17</v>
      </c>
      <c r="AT46" s="207" t="s">
        <v>309</v>
      </c>
      <c r="AV46" s="168">
        <f t="shared" si="21"/>
        <v>40</v>
      </c>
      <c r="AW46" s="168">
        <f>COUNTIF( AV$7:AV46, AV46 )</f>
        <v>12</v>
      </c>
      <c r="AX46" s="208">
        <f t="shared" si="22"/>
        <v>41.2</v>
      </c>
      <c r="AY46" s="168">
        <f t="shared" si="23"/>
        <v>51</v>
      </c>
      <c r="AZ46" s="169"/>
      <c r="BA46" s="169"/>
      <c r="BC46" s="168">
        <f t="shared" ca="1" si="24"/>
        <v>40</v>
      </c>
      <c r="BD46" s="209">
        <f t="shared" ca="1" si="7"/>
        <v>3</v>
      </c>
      <c r="BF46" s="173" t="str">
        <f t="shared" ca="1" si="25"/>
        <v>Ameren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AEE</v>
      </c>
    </row>
    <row r="47" spans="1:61" ht="13.8" x14ac:dyDescent="0.25">
      <c r="A47" s="223" t="s">
        <v>250</v>
      </c>
      <c r="B47" s="224" t="s">
        <v>147</v>
      </c>
      <c r="C47" s="224">
        <v>17</v>
      </c>
      <c r="D47" s="224" t="s">
        <v>251</v>
      </c>
      <c r="E47" s="225" t="str">
        <f t="shared" ca="1" si="0"/>
        <v>MR</v>
      </c>
      <c r="F47" s="347"/>
      <c r="G47" s="348">
        <f t="shared" ca="1" si="1"/>
        <v>12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290</v>
      </c>
      <c r="AR47" s="207" t="s">
        <v>146</v>
      </c>
      <c r="AS47" s="207">
        <v>18</v>
      </c>
      <c r="AT47" s="207" t="s">
        <v>291</v>
      </c>
      <c r="AV47" s="168">
        <f t="shared" si="21"/>
        <v>24</v>
      </c>
      <c r="AW47" s="168">
        <f>COUNTIF( AV$7:AV47, AV47 )</f>
        <v>12</v>
      </c>
      <c r="AX47" s="208">
        <f t="shared" si="22"/>
        <v>25.2</v>
      </c>
      <c r="AY47" s="168">
        <f t="shared" si="23"/>
        <v>35</v>
      </c>
      <c r="AZ47" s="169"/>
      <c r="BA47" s="169"/>
      <c r="BC47" s="168">
        <f t="shared" ca="1" si="24"/>
        <v>41</v>
      </c>
      <c r="BD47" s="209">
        <f t="shared" ca="1" si="7"/>
        <v>6</v>
      </c>
      <c r="BF47" s="173" t="str">
        <f t="shared" ca="1" si="25"/>
        <v>Black Hills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BKH</v>
      </c>
    </row>
    <row r="48" spans="1:61" ht="13.8" x14ac:dyDescent="0.25">
      <c r="A48" s="223" t="s">
        <v>261</v>
      </c>
      <c r="B48" s="224" t="s">
        <v>147</v>
      </c>
      <c r="C48" s="224">
        <v>17</v>
      </c>
      <c r="D48" s="224" t="s">
        <v>262</v>
      </c>
      <c r="E48" s="225" t="str">
        <f t="shared" ca="1" si="0"/>
        <v>R</v>
      </c>
      <c r="F48" s="347"/>
      <c r="G48" s="348">
        <f t="shared" ca="1" si="1"/>
        <v>17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248</v>
      </c>
      <c r="AR48" s="207" t="s">
        <v>146</v>
      </c>
      <c r="AS48" s="207">
        <v>18</v>
      </c>
      <c r="AT48" s="207" t="s">
        <v>249</v>
      </c>
      <c r="AV48" s="168">
        <f t="shared" si="21"/>
        <v>24</v>
      </c>
      <c r="AW48" s="168">
        <f>COUNTIF( AV$7:AV48, AV48 )</f>
        <v>13</v>
      </c>
      <c r="AX48" s="208">
        <f t="shared" si="22"/>
        <v>25.3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9</v>
      </c>
      <c r="BF48" s="173" t="str">
        <f t="shared" ca="1" si="25"/>
        <v>CMS Energy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CMS</v>
      </c>
    </row>
    <row r="49" spans="1:61" ht="13.8" x14ac:dyDescent="0.25">
      <c r="A49" s="223" t="s">
        <v>264</v>
      </c>
      <c r="B49" s="224" t="s">
        <v>147</v>
      </c>
      <c r="C49" s="224">
        <v>17</v>
      </c>
      <c r="D49" s="224" t="s">
        <v>265</v>
      </c>
      <c r="E49" s="225" t="str">
        <f t="shared" ca="1" si="0"/>
        <v>R</v>
      </c>
      <c r="F49" s="347"/>
      <c r="G49" s="348">
        <f t="shared" ca="1" si="1"/>
        <v>64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437</v>
      </c>
      <c r="AR49" s="207" t="s">
        <v>145</v>
      </c>
      <c r="AS49" s="207">
        <v>19</v>
      </c>
      <c r="AT49" s="207" t="s">
        <v>438</v>
      </c>
      <c r="AV49" s="168">
        <f t="shared" si="21"/>
        <v>11</v>
      </c>
      <c r="AW49" s="168">
        <f>COUNTIF( AV$7:AV49, AV49 )</f>
        <v>10</v>
      </c>
      <c r="AX49" s="208">
        <f t="shared" si="22"/>
        <v>12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12</v>
      </c>
      <c r="BF49" s="173" t="str">
        <f t="shared" ca="1" si="25"/>
        <v>DPL Inc.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**DPL</v>
      </c>
    </row>
    <row r="50" spans="1:61" ht="13.8" x14ac:dyDescent="0.25">
      <c r="A50" s="223" t="s">
        <v>270</v>
      </c>
      <c r="B50" s="224" t="s">
        <v>147</v>
      </c>
      <c r="C50" s="224">
        <v>17</v>
      </c>
      <c r="D50" s="224" t="s">
        <v>271</v>
      </c>
      <c r="E50" s="225" t="str">
        <f t="shared" ca="1" si="0"/>
        <v>R</v>
      </c>
      <c r="F50" s="347"/>
      <c r="G50" s="348">
        <f t="shared" ca="1" si="1"/>
        <v>23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294</v>
      </c>
      <c r="AR50" s="207" t="s">
        <v>146</v>
      </c>
      <c r="AS50" s="207">
        <v>18</v>
      </c>
      <c r="AT50" s="207" t="s">
        <v>295</v>
      </c>
      <c r="AV50" s="168">
        <f t="shared" si="21"/>
        <v>24</v>
      </c>
      <c r="AW50" s="168">
        <f>COUNTIF( AV$7:AV50, AV50 )</f>
        <v>14</v>
      </c>
      <c r="AX50" s="208">
        <f t="shared" si="22"/>
        <v>25.4</v>
      </c>
      <c r="AY50" s="168">
        <f t="shared" si="23"/>
        <v>37</v>
      </c>
      <c r="AZ50" s="169"/>
      <c r="BA50" s="169"/>
      <c r="BC50" s="168">
        <f t="shared" ca="1" si="24"/>
        <v>44</v>
      </c>
      <c r="BD50" s="209">
        <f t="shared" ca="1" si="7"/>
        <v>15</v>
      </c>
      <c r="BF50" s="173" t="str">
        <f t="shared" ca="1" si="25"/>
        <v>Edison International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EIX</v>
      </c>
    </row>
    <row r="51" spans="1:61" ht="13.8" x14ac:dyDescent="0.25">
      <c r="A51" s="223" t="s">
        <v>377</v>
      </c>
      <c r="B51" s="224" t="s">
        <v>147</v>
      </c>
      <c r="C51" s="224">
        <v>17</v>
      </c>
      <c r="D51" s="224" t="s">
        <v>378</v>
      </c>
      <c r="E51" s="225" t="str">
        <f t="shared" ca="1" si="0"/>
        <v>R</v>
      </c>
      <c r="F51" s="347"/>
      <c r="G51" s="348">
        <f t="shared" ca="1" si="1"/>
        <v>25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310</v>
      </c>
      <c r="AR51" s="207" t="s">
        <v>178</v>
      </c>
      <c r="AS51" s="207">
        <v>16</v>
      </c>
      <c r="AT51" s="207" t="s">
        <v>311</v>
      </c>
      <c r="AV51" s="168">
        <f t="shared" si="21"/>
        <v>52</v>
      </c>
      <c r="AW51" s="168">
        <f>COUNTIF( AV$7:AV51, AV51 )</f>
        <v>2</v>
      </c>
      <c r="AX51" s="208">
        <f t="shared" si="22"/>
        <v>52.2</v>
      </c>
      <c r="AY51" s="168">
        <f t="shared" si="23"/>
        <v>53</v>
      </c>
      <c r="AZ51" s="169"/>
      <c r="BA51" s="169"/>
      <c r="BC51" s="168">
        <f t="shared" ca="1" si="24"/>
        <v>45</v>
      </c>
      <c r="BD51" s="209">
        <f t="shared" ca="1" si="7"/>
        <v>17</v>
      </c>
      <c r="BF51" s="173" t="str">
        <f t="shared" ca="1" si="25"/>
        <v>Empire District Electric Company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EDE</v>
      </c>
    </row>
    <row r="52" spans="1:61" ht="13.8" x14ac:dyDescent="0.25">
      <c r="A52" s="223" t="s">
        <v>280</v>
      </c>
      <c r="B52" s="224" t="s">
        <v>147</v>
      </c>
      <c r="C52" s="224">
        <v>17</v>
      </c>
      <c r="D52" s="224" t="s">
        <v>281</v>
      </c>
      <c r="E52" s="225" t="str">
        <f t="shared" ca="1" si="0"/>
        <v>MR</v>
      </c>
      <c r="F52" s="347"/>
      <c r="G52" s="348">
        <f t="shared" ca="1" si="1"/>
        <v>28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357</v>
      </c>
      <c r="AR52" s="207" t="s">
        <v>145</v>
      </c>
      <c r="AS52" s="207">
        <v>19</v>
      </c>
      <c r="AT52" s="207" t="s">
        <v>358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ht="13.8" x14ac:dyDescent="0.25">
      <c r="A53" s="223" t="s">
        <v>284</v>
      </c>
      <c r="B53" s="224" t="s">
        <v>147</v>
      </c>
      <c r="C53" s="224">
        <v>17</v>
      </c>
      <c r="D53" s="224" t="s">
        <v>285</v>
      </c>
      <c r="E53" s="225" t="str">
        <f t="shared" ca="1" si="0"/>
        <v>D</v>
      </c>
      <c r="F53" s="347"/>
      <c r="G53" s="348">
        <f t="shared" ca="1" si="1"/>
        <v>30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296</v>
      </c>
      <c r="AR53" s="207" t="s">
        <v>145</v>
      </c>
      <c r="AS53" s="207">
        <v>19</v>
      </c>
      <c r="AT53" s="207" t="s">
        <v>297</v>
      </c>
      <c r="AV53" s="168">
        <f t="shared" si="21"/>
        <v>11</v>
      </c>
      <c r="AW53" s="168">
        <f>COUNTIF( AV$7:AV53, AV53 )</f>
        <v>12</v>
      </c>
      <c r="AX53" s="208">
        <f t="shared" si="22"/>
        <v>12.2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ht="13.8" x14ac:dyDescent="0.25">
      <c r="A54" s="223" t="s">
        <v>292</v>
      </c>
      <c r="B54" s="224" t="s">
        <v>147</v>
      </c>
      <c r="C54" s="224">
        <v>17</v>
      </c>
      <c r="D54" s="224" t="s">
        <v>293</v>
      </c>
      <c r="E54" s="225" t="str">
        <f t="shared" ca="1" si="0"/>
        <v>R</v>
      </c>
      <c r="F54" s="347"/>
      <c r="G54" s="348">
        <f t="shared" ca="1" si="1"/>
        <v>66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298</v>
      </c>
      <c r="AR54" s="207" t="s">
        <v>171</v>
      </c>
      <c r="AS54" s="207">
        <v>21</v>
      </c>
      <c r="AT54" s="207" t="s">
        <v>299</v>
      </c>
      <c r="AV54" s="168">
        <f t="shared" si="21"/>
        <v>1</v>
      </c>
      <c r="AW54" s="168">
        <f>COUNTIF( AV$7:AV54, AV54 )</f>
        <v>1</v>
      </c>
      <c r="AX54" s="208">
        <f t="shared" si="22"/>
        <v>1.1000000000000001</v>
      </c>
      <c r="AY54" s="168">
        <f t="shared" si="23"/>
        <v>1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ht="13.8" x14ac:dyDescent="0.25">
      <c r="A55" s="223" t="s">
        <v>278</v>
      </c>
      <c r="B55" s="224" t="s">
        <v>147</v>
      </c>
      <c r="C55" s="224">
        <v>17</v>
      </c>
      <c r="D55" s="224" t="s">
        <v>279</v>
      </c>
      <c r="E55" s="225" t="str">
        <f t="shared" ca="1" si="0"/>
        <v>MR</v>
      </c>
      <c r="F55" s="347"/>
      <c r="G55" s="348">
        <f t="shared" ca="1" si="1"/>
        <v>36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379</v>
      </c>
      <c r="AR55" s="207" t="s">
        <v>145</v>
      </c>
      <c r="AS55" s="207">
        <v>19</v>
      </c>
      <c r="AT55" s="207" t="s">
        <v>385</v>
      </c>
      <c r="AV55" s="168">
        <f t="shared" si="21"/>
        <v>11</v>
      </c>
      <c r="AW55" s="168">
        <f>COUNTIF( AV$7:AV55, AV55 )</f>
        <v>13</v>
      </c>
      <c r="AX55" s="208">
        <f t="shared" si="22"/>
        <v>12.3</v>
      </c>
      <c r="AY55" s="168">
        <f t="shared" si="23"/>
        <v>23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ht="13.8" x14ac:dyDescent="0.25">
      <c r="A56" s="223" t="s">
        <v>304</v>
      </c>
      <c r="B56" s="224" t="s">
        <v>147</v>
      </c>
      <c r="C56" s="224">
        <v>17</v>
      </c>
      <c r="D56" s="224" t="s">
        <v>305</v>
      </c>
      <c r="E56" s="225" t="str">
        <f t="shared" ca="1" si="0"/>
        <v>MR</v>
      </c>
      <c r="F56" s="347"/>
      <c r="G56" s="348">
        <f t="shared" ca="1" si="1"/>
        <v>42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399</v>
      </c>
      <c r="AR56" s="207" t="s">
        <v>146</v>
      </c>
      <c r="AS56" s="207">
        <v>18</v>
      </c>
      <c r="AT56" s="207" t="s">
        <v>400</v>
      </c>
      <c r="AV56" s="168">
        <f t="shared" si="21"/>
        <v>24</v>
      </c>
      <c r="AW56" s="168">
        <f>COUNTIF( AV$7:AV56, AV56 )</f>
        <v>15</v>
      </c>
      <c r="AX56" s="208">
        <f t="shared" si="22"/>
        <v>25.5</v>
      </c>
      <c r="AY56" s="168">
        <f t="shared" si="23"/>
        <v>38</v>
      </c>
      <c r="AZ56" s="169"/>
      <c r="BA56" s="169"/>
      <c r="BC56" s="168">
        <f t="shared" ca="1" si="24"/>
        <v>50</v>
      </c>
      <c r="BD56" s="209">
        <f t="shared" ca="1" si="7"/>
        <v>36</v>
      </c>
      <c r="BF56" s="173" t="str">
        <f t="shared" ca="1" si="25"/>
        <v>Otter Tail Corporation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OTTR</v>
      </c>
    </row>
    <row r="57" spans="1:61" ht="13.8" x14ac:dyDescent="0.25">
      <c r="A57" s="223" t="s">
        <v>308</v>
      </c>
      <c r="B57" s="224" t="s">
        <v>147</v>
      </c>
      <c r="C57" s="224">
        <v>17</v>
      </c>
      <c r="D57" s="224" t="s">
        <v>309</v>
      </c>
      <c r="E57" s="225" t="str">
        <f t="shared" ca="1" si="0"/>
        <v>R</v>
      </c>
      <c r="F57" s="347"/>
      <c r="G57" s="348">
        <f t="shared" ca="1" si="1"/>
        <v>46</v>
      </c>
      <c r="H57" s="349"/>
      <c r="I57" s="349"/>
      <c r="J57" s="191"/>
      <c r="K57" s="191"/>
      <c r="AF57" s="169">
        <f t="shared" si="2"/>
        <v>1</v>
      </c>
      <c r="AG57" s="169">
        <f t="shared" ca="1" si="3"/>
        <v>1</v>
      </c>
      <c r="AH57" s="169" t="str">
        <f t="shared" ca="1" si="19"/>
        <v/>
      </c>
      <c r="AJ57" s="169">
        <f t="shared" ca="1" si="4"/>
        <v>60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5"/>
        <v>Change</v>
      </c>
      <c r="AQ57" s="207" t="s">
        <v>355</v>
      </c>
      <c r="AR57" s="207" t="s">
        <v>144</v>
      </c>
      <c r="AS57" s="207">
        <v>20</v>
      </c>
      <c r="AT57" s="207" t="s">
        <v>356</v>
      </c>
      <c r="AV57" s="168">
        <f t="shared" si="21"/>
        <v>2</v>
      </c>
      <c r="AW57" s="168">
        <f>COUNTIF( AV$7:AV57, AV57 )</f>
        <v>7</v>
      </c>
      <c r="AX57" s="208">
        <f t="shared" si="22"/>
        <v>2.7</v>
      </c>
      <c r="AY57" s="168">
        <f t="shared" si="23"/>
        <v>8</v>
      </c>
      <c r="AZ57" s="169"/>
      <c r="BA57" s="169"/>
      <c r="BC57" s="168">
        <f t="shared" ca="1" si="24"/>
        <v>51</v>
      </c>
      <c r="BD57" s="209">
        <f t="shared" ca="1" si="7"/>
        <v>40</v>
      </c>
      <c r="BF57" s="173" t="str">
        <f t="shared" ca="1" si="25"/>
        <v>PNM Resources, Inc.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PNM</v>
      </c>
    </row>
    <row r="58" spans="1:61" ht="13.8" x14ac:dyDescent="0.25">
      <c r="A58" s="223" t="s">
        <v>421</v>
      </c>
      <c r="B58" s="224" t="s">
        <v>178</v>
      </c>
      <c r="C58" s="224">
        <v>16</v>
      </c>
      <c r="D58" s="224" t="s">
        <v>422</v>
      </c>
      <c r="E58" s="225" t="str">
        <f t="shared" ca="1" si="0"/>
        <v>R</v>
      </c>
      <c r="F58" s="347"/>
      <c r="G58" s="348">
        <f t="shared" ca="1" si="1"/>
        <v>40</v>
      </c>
      <c r="H58" s="349"/>
      <c r="I58" s="349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364</v>
      </c>
      <c r="AR58" s="207" t="s">
        <v>146</v>
      </c>
      <c r="AS58" s="207">
        <v>18</v>
      </c>
      <c r="AT58" s="207" t="s">
        <v>365</v>
      </c>
      <c r="AV58" s="168">
        <f t="shared" si="21"/>
        <v>24</v>
      </c>
      <c r="AW58" s="168">
        <f>COUNTIF( AV$7:AV58, AV58 )</f>
        <v>16</v>
      </c>
      <c r="AX58" s="208">
        <f t="shared" si="22"/>
        <v>25.6</v>
      </c>
      <c r="AY58" s="168">
        <f t="shared" si="23"/>
        <v>39</v>
      </c>
      <c r="AZ58" s="169"/>
      <c r="BA58" s="169"/>
      <c r="BC58" s="168">
        <f t="shared" ca="1" si="24"/>
        <v>52</v>
      </c>
      <c r="BD58" s="209">
        <f t="shared" ca="1" si="7"/>
        <v>34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ht="13.8" x14ac:dyDescent="0.25">
      <c r="A59" s="223" t="s">
        <v>310</v>
      </c>
      <c r="B59" s="224" t="s">
        <v>178</v>
      </c>
      <c r="C59" s="224">
        <v>16</v>
      </c>
      <c r="D59" s="224" t="s">
        <v>311</v>
      </c>
      <c r="E59" s="225" t="str">
        <f t="shared" ca="1" si="0"/>
        <v>R</v>
      </c>
      <c r="F59" s="347"/>
      <c r="G59" s="348">
        <f t="shared" ca="1" si="1"/>
        <v>68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252</v>
      </c>
      <c r="AR59" s="207" t="s">
        <v>144</v>
      </c>
      <c r="AS59" s="207">
        <v>20</v>
      </c>
      <c r="AT59" s="207" t="s">
        <v>253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45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ht="13.8" x14ac:dyDescent="0.25">
      <c r="A60" s="180" t="s">
        <v>381</v>
      </c>
      <c r="B60" s="181" t="s">
        <v>192</v>
      </c>
      <c r="C60" s="181">
        <v>9</v>
      </c>
      <c r="D60" s="181" t="s">
        <v>369</v>
      </c>
      <c r="E60" s="182"/>
      <c r="F60" s="349"/>
      <c r="G60" s="352">
        <f t="shared" ca="1" si="1"/>
        <v>65</v>
      </c>
      <c r="H60" s="349"/>
      <c r="I60" s="349"/>
      <c r="AF60" s="169">
        <f t="shared" si="2"/>
        <v>1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CCC</v>
      </c>
      <c r="AL60" s="169">
        <f t="shared" ca="1" si="20"/>
        <v>9</v>
      </c>
      <c r="AM60" s="169" t="str">
        <f t="shared" ca="1" si="5"/>
        <v/>
      </c>
      <c r="AQ60" s="207" t="s">
        <v>256</v>
      </c>
      <c r="AR60" s="207" t="s">
        <v>144</v>
      </c>
      <c r="AS60" s="207">
        <v>20</v>
      </c>
      <c r="AT60" s="207" t="s">
        <v>257</v>
      </c>
      <c r="AV60" s="168">
        <f t="shared" si="21"/>
        <v>2</v>
      </c>
      <c r="AW60" s="168">
        <f>COUNTIF( AV$7:AV60, AV60 )</f>
        <v>9</v>
      </c>
      <c r="AX60" s="208">
        <f t="shared" si="22"/>
        <v>2.9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18</v>
      </c>
      <c r="BF60" s="173" t="str">
        <f t="shared" ca="1" si="25"/>
        <v>Energy Future Holdings Corp.</v>
      </c>
      <c r="BG60" s="173" t="str">
        <f t="shared" ca="1" si="9"/>
        <v>CCC</v>
      </c>
      <c r="BH60" s="173">
        <f t="shared" ca="1" si="9"/>
        <v>9</v>
      </c>
      <c r="BI60" s="173" t="str">
        <f t="shared" ca="1" si="9"/>
        <v>**EFH</v>
      </c>
    </row>
    <row r="61" spans="1:61" ht="14.4" thickBot="1" x14ac:dyDescent="0.3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</v>
      </c>
      <c r="AX61" s="208">
        <f t="shared" si="22"/>
        <v>99.1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394</v>
      </c>
      <c r="B62" s="227" t="s">
        <v>167</v>
      </c>
      <c r="C62" s="227">
        <v>23</v>
      </c>
      <c r="D62" s="227" t="s">
        <v>314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63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2</v>
      </c>
      <c r="AX62" s="208">
        <f t="shared" si="22"/>
        <v>99.2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426</v>
      </c>
      <c r="B63" s="224" t="s">
        <v>171</v>
      </c>
      <c r="C63" s="224">
        <v>21</v>
      </c>
      <c r="D63" s="224" t="s">
        <v>427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3</v>
      </c>
      <c r="AX63" s="208">
        <f t="shared" si="22"/>
        <v>99.3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8" x14ac:dyDescent="0.25">
      <c r="A64" s="223" t="s">
        <v>409</v>
      </c>
      <c r="B64" s="224" t="s">
        <v>178</v>
      </c>
      <c r="C64" s="224">
        <v>16</v>
      </c>
      <c r="D64" s="224" t="s">
        <v>410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65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394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58" ht="13.8" x14ac:dyDescent="0.25">
      <c r="A65" s="223" t="s">
        <v>411</v>
      </c>
      <c r="B65" s="229"/>
      <c r="C65" s="224"/>
      <c r="D65" s="224" t="s">
        <v>386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315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66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426</v>
      </c>
      <c r="AR65" s="207" t="s">
        <v>171</v>
      </c>
      <c r="AS65" s="207">
        <v>21</v>
      </c>
      <c r="AT65" s="207" t="s">
        <v>427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409</v>
      </c>
      <c r="AR66" s="207" t="s">
        <v>178</v>
      </c>
      <c r="AS66" s="207">
        <v>16</v>
      </c>
      <c r="AT66" s="207" t="s">
        <v>410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300</v>
      </c>
      <c r="AR67" s="207" t="s">
        <v>433</v>
      </c>
      <c r="AS67" s="207"/>
      <c r="AT67" s="207" t="s">
        <v>386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18.263157894736842</v>
      </c>
      <c r="D68" s="201"/>
      <c r="E68" s="201"/>
      <c r="F68" s="349"/>
      <c r="H68" s="349"/>
      <c r="I68" s="349"/>
      <c r="J68" s="350"/>
      <c r="K68" s="350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429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413</v>
      </c>
      <c r="D75" s="204"/>
      <c r="F75" s="206"/>
      <c r="H75" s="206"/>
      <c r="I75" s="206"/>
    </row>
    <row r="76" spans="1:58" x14ac:dyDescent="0.2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18.350877192982455</v>
      </c>
      <c r="E79" s="191"/>
      <c r="G79" s="352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-- 2012 Q1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</row>
    <row r="2" spans="1:61" ht="18" hidden="1" outlineLevel="1" x14ac:dyDescent="0.25">
      <c r="A2" s="167"/>
      <c r="E2" s="171" t="str">
        <f>G2</f>
        <v>Reg_Percent_2010</v>
      </c>
      <c r="G2" s="172" t="s">
        <v>439</v>
      </c>
      <c r="AJ2" s="173" t="str">
        <f>AJ4 &amp; AJ3</f>
        <v>'Credit_2011Q4'!a:a</v>
      </c>
      <c r="AK2" s="173" t="str">
        <f>AK4 &amp; AK3</f>
        <v>'Credit_2011Q4'!b1</v>
      </c>
      <c r="AL2" s="173" t="str">
        <f>AL4 &amp; AL3</f>
        <v>'Credit_2011Q4'!c1</v>
      </c>
    </row>
    <row r="3" spans="1:61" ht="18" hidden="1" outlineLevel="1" x14ac:dyDescent="0.25">
      <c r="A3" s="167"/>
      <c r="E3" s="174" t="str">
        <f>"'" &amp; E2 &amp; "'!"</f>
        <v>'Reg_Percent_2010'!</v>
      </c>
      <c r="G3" s="168" t="str">
        <f>"'" &amp; G2 &amp; "'!"</f>
        <v>'Reg_Percent_2010'!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416</v>
      </c>
      <c r="AK3" s="149" t="s">
        <v>211</v>
      </c>
      <c r="AL3" s="149" t="s">
        <v>212</v>
      </c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6" t="s">
        <v>440</v>
      </c>
      <c r="AK4" s="169" t="str">
        <f>AJ4</f>
        <v>'Credit_2011Q4'!</v>
      </c>
      <c r="AL4" s="169" t="str">
        <f>AK4</f>
        <v>'Credit_2011Q4'!</v>
      </c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>"All Companies" &amp; CHAR( 10 ) &amp; "("&amp; L14 &amp; ")"</f>
        <v>All Companies
(58)</v>
      </c>
      <c r="M5" s="374"/>
      <c r="N5" s="230"/>
      <c r="O5" s="372" t="str">
        <f ca="1">"Regulated" &amp; CHAR( 10 ) &amp; "(" &amp; O14 &amp; ")"</f>
        <v>Regulated
(37)</v>
      </c>
      <c r="P5" s="376"/>
      <c r="Q5" s="230"/>
      <c r="R5" s="372" t="str">
        <f ca="1">"Mostly Regulated" &amp; CHAR( 10 ) &amp; "(" &amp; R14 &amp; ")"</f>
        <v>Mostly Regulated
(18)</v>
      </c>
      <c r="S5" s="376"/>
      <c r="T5" s="230"/>
      <c r="U5" s="372" t="str">
        <f ca="1">"Diversified" &amp; CHAR( 10 ) &amp; "(" &amp; U14 &amp; ")"</f>
        <v>Diversified
(3)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217</v>
      </c>
      <c r="B6" s="220" t="s">
        <v>48</v>
      </c>
      <c r="C6" s="249" t="s">
        <v>219</v>
      </c>
      <c r="D6" s="221"/>
      <c r="E6" s="222">
        <v>40543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441</v>
      </c>
      <c r="B7" s="224" t="s">
        <v>169</v>
      </c>
      <c r="C7" s="224">
        <v>22</v>
      </c>
      <c r="D7" s="224" t="s">
        <v>442</v>
      </c>
      <c r="E7" s="225" t="str">
        <f t="shared" ref="E7:E61" ca="1" si="0">OFFSET( INDIRECT( E$3 &amp; E$4 ), $G7 - 1, 0 )</f>
        <v>R</v>
      </c>
      <c r="F7" s="347"/>
      <c r="G7" s="348">
        <f t="shared" ref="G7:G66" ca="1" si="1">IF( LEN( $D7 ) = 0, "", MATCH( $D7, INDIRECT( G$3 &amp; G$4 ), 0 ) )</f>
        <v>39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5">IF( B7 = AK7, "", "Change" )</f>
        <v/>
      </c>
      <c r="AQ7" s="207" t="s">
        <v>222</v>
      </c>
      <c r="AR7" s="207" t="s">
        <v>145</v>
      </c>
      <c r="AS7" s="207">
        <v>19</v>
      </c>
      <c r="AT7" s="207" t="s">
        <v>223</v>
      </c>
      <c r="AV7" s="168">
        <f>IF( LEN( AS7 ) = 0, 99, RANK( AS7, $AS$7:$AS$63 ) )</f>
        <v>12</v>
      </c>
      <c r="AW7" s="168">
        <f>COUNTIF( AV7:AV$7, AV7 )</f>
        <v>1</v>
      </c>
      <c r="AX7" s="208">
        <f>AV7 + AW7 / 10</f>
        <v>12.1</v>
      </c>
      <c r="AY7" s="168">
        <f>RANK( AX7, $AX$7:$AX$63, 1 )</f>
        <v>12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34</v>
      </c>
      <c r="BF7" s="173" t="str">
        <f t="shared" ref="BF7:BF38" ca="1" si="8">OFFSET( AQ$6, $BD7, 0 )</f>
        <v>NSTAR</v>
      </c>
      <c r="BG7" s="173" t="str">
        <f t="shared" ref="BG7:BI62" ca="1" si="9">OFFSET( AR$6, $BD7, 0 )</f>
        <v>A+</v>
      </c>
      <c r="BH7" s="173">
        <f t="shared" ca="1" si="9"/>
        <v>22</v>
      </c>
      <c r="BI7" s="173" t="str">
        <f t="shared" ca="1" si="9"/>
        <v>NST</v>
      </c>
    </row>
    <row r="8" spans="1:61" ht="13.8" x14ac:dyDescent="0.25">
      <c r="A8" s="223" t="s">
        <v>298</v>
      </c>
      <c r="B8" s="224" t="s">
        <v>171</v>
      </c>
      <c r="C8" s="224">
        <v>21</v>
      </c>
      <c r="D8" s="224" t="s">
        <v>299</v>
      </c>
      <c r="E8" s="225" t="str">
        <f t="shared" ca="1" si="0"/>
        <v>R</v>
      </c>
      <c r="F8" s="347"/>
      <c r="G8" s="348">
        <f t="shared" ca="1" si="1"/>
        <v>53</v>
      </c>
      <c r="H8" s="349"/>
      <c r="I8" s="233"/>
      <c r="J8" s="213" t="s">
        <v>142</v>
      </c>
      <c r="K8" s="233"/>
      <c r="L8" s="213">
        <f t="shared" ref="L8:L13" si="10">COUNTIF($C$7:$C$67,$X8)</f>
        <v>4</v>
      </c>
      <c r="M8" s="214">
        <f t="shared" ref="M8:M13" si="11">IF( L8 = 0, "", L8/L$14 )</f>
        <v>6.8965517241379309E-2</v>
      </c>
      <c r="N8" s="233"/>
      <c r="O8" s="213">
        <f t="shared" ref="O8:O13" ca="1" si="12">COUNTIFS( $E$7:$E$66, O$3, $C$7:$C$66, $X8 )</f>
        <v>3</v>
      </c>
      <c r="P8" s="214">
        <f t="shared" ref="P8:P13" ca="1" si="13">IF( O8 = 0, "", O8/O$14 )</f>
        <v>8.1081081081081086E-2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5.5555555555555552E-2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4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5"/>
        <v/>
      </c>
      <c r="AQ8" s="207" t="s">
        <v>224</v>
      </c>
      <c r="AR8" s="207" t="s">
        <v>145</v>
      </c>
      <c r="AS8" s="207">
        <v>19</v>
      </c>
      <c r="AT8" s="207" t="s">
        <v>225</v>
      </c>
      <c r="AV8" s="168">
        <f t="shared" ref="AV8:AV63" si="21">IF( LEN( AS8 ) = 0, 99, RANK( AS8, $AS$7:$AS$63 ) )</f>
        <v>12</v>
      </c>
      <c r="AW8" s="168">
        <f>COUNTIF( AV$7:AV8, AV8 )</f>
        <v>2</v>
      </c>
      <c r="AX8" s="208">
        <f t="shared" ref="AX8:AX63" si="22">AV8 + AW8 / 10</f>
        <v>12.2</v>
      </c>
      <c r="AY8" s="168">
        <f t="shared" ref="AY8:AY63" si="23">RANK( AX8, $AX$7:$AX$63, 1 )</f>
        <v>13</v>
      </c>
      <c r="AZ8" s="169"/>
      <c r="BA8" s="169"/>
      <c r="BC8" s="168">
        <f ca="1">OFFSET( BC8, -1, 0 ) + 1</f>
        <v>2</v>
      </c>
      <c r="BD8" s="209">
        <f t="shared" ca="1" si="7"/>
        <v>49</v>
      </c>
      <c r="BF8" s="173" t="str">
        <f t="shared" ca="1" si="8"/>
        <v>Southern Company</v>
      </c>
      <c r="BG8" s="173" t="str">
        <f t="shared" ca="1" si="9"/>
        <v>A</v>
      </c>
      <c r="BH8" s="173">
        <f t="shared" ca="1" si="9"/>
        <v>21</v>
      </c>
      <c r="BI8" s="173" t="str">
        <f t="shared" ca="1" si="9"/>
        <v>SO</v>
      </c>
    </row>
    <row r="9" spans="1:61" ht="13.8" x14ac:dyDescent="0.25">
      <c r="A9" s="223" t="s">
        <v>232</v>
      </c>
      <c r="B9" s="224" t="s">
        <v>144</v>
      </c>
      <c r="C9" s="224">
        <v>20</v>
      </c>
      <c r="D9" s="224" t="s">
        <v>233</v>
      </c>
      <c r="E9" s="225" t="str">
        <f t="shared" ca="1" si="0"/>
        <v>R</v>
      </c>
      <c r="F9" s="347"/>
      <c r="G9" s="348">
        <f t="shared" ca="1" si="1"/>
        <v>18</v>
      </c>
      <c r="H9" s="349"/>
      <c r="I9" s="234"/>
      <c r="J9" s="215" t="s">
        <v>144</v>
      </c>
      <c r="K9" s="234"/>
      <c r="L9" s="215">
        <f t="shared" si="10"/>
        <v>9</v>
      </c>
      <c r="M9" s="216">
        <f t="shared" si="11"/>
        <v>0.15517241379310345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0.16666666666666666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230</v>
      </c>
      <c r="AR9" s="207" t="s">
        <v>147</v>
      </c>
      <c r="AS9" s="207">
        <v>17</v>
      </c>
      <c r="AT9" s="207" t="s">
        <v>231</v>
      </c>
      <c r="AV9" s="168">
        <f t="shared" si="21"/>
        <v>41</v>
      </c>
      <c r="AW9" s="168">
        <f>COUNTIF( AV$7:AV9, AV9 )</f>
        <v>1</v>
      </c>
      <c r="AX9" s="208">
        <f t="shared" si="22"/>
        <v>41.1</v>
      </c>
      <c r="AY9" s="168">
        <f t="shared" si="23"/>
        <v>41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ED</v>
      </c>
    </row>
    <row r="10" spans="1:61" ht="13.8" x14ac:dyDescent="0.25">
      <c r="A10" s="223" t="s">
        <v>371</v>
      </c>
      <c r="B10" s="224" t="s">
        <v>144</v>
      </c>
      <c r="C10" s="224">
        <v>20</v>
      </c>
      <c r="D10" s="224" t="s">
        <v>199</v>
      </c>
      <c r="E10" s="225" t="str">
        <f t="shared" ca="1" si="0"/>
        <v>MR</v>
      </c>
      <c r="F10" s="347"/>
      <c r="G10" s="348">
        <f t="shared" ca="1" si="1"/>
        <v>20</v>
      </c>
      <c r="H10" s="349"/>
      <c r="I10" s="234"/>
      <c r="J10" s="215" t="s">
        <v>145</v>
      </c>
      <c r="K10" s="234"/>
      <c r="L10" s="215">
        <f t="shared" si="10"/>
        <v>13</v>
      </c>
      <c r="M10" s="216">
        <f t="shared" si="11"/>
        <v>0.22413793103448276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0.33333333333333331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227</v>
      </c>
      <c r="AR10" s="207" t="s">
        <v>146</v>
      </c>
      <c r="AS10" s="207">
        <v>18</v>
      </c>
      <c r="AT10" s="207" t="s">
        <v>228</v>
      </c>
      <c r="AV10" s="168">
        <f t="shared" si="21"/>
        <v>25</v>
      </c>
      <c r="AW10" s="168">
        <f>COUNTIF( AV$7:AV10, AV10 )</f>
        <v>1</v>
      </c>
      <c r="AX10" s="208">
        <f t="shared" si="22"/>
        <v>25.1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</v>
      </c>
    </row>
    <row r="11" spans="1:61" ht="13.8" x14ac:dyDescent="0.25">
      <c r="A11" s="223" t="s">
        <v>268</v>
      </c>
      <c r="B11" s="224" t="s">
        <v>144</v>
      </c>
      <c r="C11" s="224">
        <v>20</v>
      </c>
      <c r="D11" s="224" t="s">
        <v>269</v>
      </c>
      <c r="E11" s="225" t="str">
        <f t="shared" ca="1" si="0"/>
        <v>MR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si="10"/>
        <v>16</v>
      </c>
      <c r="M11" s="216">
        <f t="shared" si="11"/>
        <v>0.27586206896551724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0.16666666666666666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243</v>
      </c>
      <c r="AR11" s="207" t="s">
        <v>146</v>
      </c>
      <c r="AS11" s="207">
        <v>18</v>
      </c>
      <c r="AT11" s="207" t="s">
        <v>244</v>
      </c>
      <c r="AV11" s="168">
        <f t="shared" si="21"/>
        <v>25</v>
      </c>
      <c r="AW11" s="168">
        <f>COUNTIF( AV$7:AV11, AV11 )</f>
        <v>2</v>
      </c>
      <c r="AX11" s="208">
        <f t="shared" si="22"/>
        <v>25.2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14</v>
      </c>
      <c r="BF11" s="173" t="str">
        <f t="shared" ca="1" si="8"/>
        <v>Duke Energy Corporation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DUK</v>
      </c>
    </row>
    <row r="12" spans="1:61" ht="13.8" x14ac:dyDescent="0.25">
      <c r="A12" s="223" t="s">
        <v>397</v>
      </c>
      <c r="B12" s="224" t="s">
        <v>144</v>
      </c>
      <c r="C12" s="224">
        <v>20</v>
      </c>
      <c r="D12" s="224" t="s">
        <v>398</v>
      </c>
      <c r="E12" s="225" t="str">
        <f t="shared" ca="1" si="0"/>
        <v>R</v>
      </c>
      <c r="F12" s="347"/>
      <c r="G12" s="348">
        <f t="shared" ca="1" si="1"/>
        <v>65</v>
      </c>
      <c r="H12" s="349"/>
      <c r="I12" s="234"/>
      <c r="J12" s="215" t="s">
        <v>147</v>
      </c>
      <c r="K12" s="234"/>
      <c r="L12" s="215">
        <f t="shared" si="10"/>
        <v>11</v>
      </c>
      <c r="M12" s="216">
        <f t="shared" si="11"/>
        <v>0.18965517241379309</v>
      </c>
      <c r="N12" s="234"/>
      <c r="O12" s="215">
        <f t="shared" ca="1" si="12"/>
        <v>5</v>
      </c>
      <c r="P12" s="216">
        <f t="shared" ca="1" si="13"/>
        <v>0.13513513513513514</v>
      </c>
      <c r="Q12" s="234"/>
      <c r="R12" s="215">
        <f t="shared" ca="1" si="14"/>
        <v>5</v>
      </c>
      <c r="S12" s="216">
        <f t="shared" ca="1" si="15"/>
        <v>0.27777777777777779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250</v>
      </c>
      <c r="AR12" s="207" t="s">
        <v>147</v>
      </c>
      <c r="AS12" s="207">
        <v>17</v>
      </c>
      <c r="AT12" s="207" t="s">
        <v>251</v>
      </c>
      <c r="AV12" s="168">
        <f t="shared" si="21"/>
        <v>41</v>
      </c>
      <c r="AW12" s="168">
        <f>COUNTIF( AV$7:AV12, AV12 )</f>
        <v>2</v>
      </c>
      <c r="AX12" s="208">
        <f t="shared" si="22"/>
        <v>41.2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24</v>
      </c>
      <c r="BF12" s="173" t="str">
        <f t="shared" ca="1" si="8"/>
        <v>Iberdrola USA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**EAST</v>
      </c>
    </row>
    <row r="13" spans="1:61" ht="13.8" x14ac:dyDescent="0.25">
      <c r="A13" s="223" t="s">
        <v>405</v>
      </c>
      <c r="B13" s="224" t="s">
        <v>144</v>
      </c>
      <c r="C13" s="224">
        <v>20</v>
      </c>
      <c r="D13" s="224" t="s">
        <v>406</v>
      </c>
      <c r="E13" s="225" t="str">
        <f t="shared" ca="1" si="0"/>
        <v>R</v>
      </c>
      <c r="F13" s="347"/>
      <c r="G13" s="348">
        <f t="shared" ca="1" si="1"/>
        <v>32</v>
      </c>
      <c r="H13" s="349"/>
      <c r="I13" s="235"/>
      <c r="J13" s="217" t="s">
        <v>148</v>
      </c>
      <c r="K13" s="235"/>
      <c r="L13" s="217">
        <f t="shared" si="10"/>
        <v>5</v>
      </c>
      <c r="M13" s="218">
        <f t="shared" si="11"/>
        <v>8.6206896551724144E-2</v>
      </c>
      <c r="N13" s="235"/>
      <c r="O13" s="217">
        <f t="shared" ca="1" si="12"/>
        <v>4</v>
      </c>
      <c r="P13" s="218">
        <f t="shared" ca="1" si="13"/>
        <v>0.10810810810810811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1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21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254</v>
      </c>
      <c r="AR13" s="207" t="s">
        <v>145</v>
      </c>
      <c r="AS13" s="207">
        <v>19</v>
      </c>
      <c r="AT13" s="207" t="s">
        <v>255</v>
      </c>
      <c r="AV13" s="168">
        <f t="shared" si="21"/>
        <v>12</v>
      </c>
      <c r="AW13" s="168">
        <f>COUNTIF( AV$7:AV13, AV13 )</f>
        <v>3</v>
      </c>
      <c r="AX13" s="208">
        <f t="shared" si="22"/>
        <v>12.3</v>
      </c>
      <c r="AY13" s="168">
        <f t="shared" si="23"/>
        <v>14</v>
      </c>
      <c r="AZ13" s="169"/>
      <c r="BA13" s="169"/>
      <c r="BC13" s="168">
        <f t="shared" ca="1" si="24"/>
        <v>7</v>
      </c>
      <c r="BD13" s="209">
        <f t="shared" ca="1" si="7"/>
        <v>26</v>
      </c>
      <c r="BF13" s="173" t="str">
        <f t="shared" ca="1" si="8"/>
        <v>Integrys Energy Group,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TEG</v>
      </c>
    </row>
    <row r="14" spans="1:61" ht="13.8" x14ac:dyDescent="0.25">
      <c r="A14" s="223" t="s">
        <v>245</v>
      </c>
      <c r="B14" s="224" t="s">
        <v>144</v>
      </c>
      <c r="C14" s="224">
        <v>20</v>
      </c>
      <c r="D14" s="224" t="s">
        <v>246</v>
      </c>
      <c r="E14" s="225" t="str">
        <f t="shared" ca="1" si="0"/>
        <v>MR</v>
      </c>
      <c r="F14" s="347"/>
      <c r="G14" s="348">
        <f t="shared" ca="1" si="1"/>
        <v>35</v>
      </c>
      <c r="H14" s="349"/>
      <c r="I14" s="236"/>
      <c r="J14" s="211" t="s">
        <v>149</v>
      </c>
      <c r="K14" s="236"/>
      <c r="L14" s="211">
        <f>SUM(L8:L13)</f>
        <v>58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18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18.379310344827587</v>
      </c>
      <c r="Z14" s="190"/>
      <c r="AA14" s="189">
        <f ca="1">SUM(AA8:AA13)</f>
        <v>58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259</v>
      </c>
      <c r="AR14" s="207" t="s">
        <v>146</v>
      </c>
      <c r="AS14" s="207">
        <v>18</v>
      </c>
      <c r="AT14" s="207" t="s">
        <v>388</v>
      </c>
      <c r="AV14" s="168">
        <f>IF( LEN( AS14 ) = 0, 99, RANK( AS14, $AS$7:$AS$63 ) )</f>
        <v>25</v>
      </c>
      <c r="AW14" s="168">
        <f>COUNTIF( AV$7:AV14, AV14 )</f>
        <v>3</v>
      </c>
      <c r="AX14" s="208">
        <f t="shared" si="22"/>
        <v>25.3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30</v>
      </c>
      <c r="BF14" s="173" t="str">
        <f t="shared" ca="1" si="8"/>
        <v>NextEra Energy, Inc.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NEE</v>
      </c>
    </row>
    <row r="15" spans="1:61" ht="13.8" x14ac:dyDescent="0.25">
      <c r="A15" s="223" t="s">
        <v>355</v>
      </c>
      <c r="B15" s="224" t="s">
        <v>144</v>
      </c>
      <c r="C15" s="224">
        <v>20</v>
      </c>
      <c r="D15" s="224" t="s">
        <v>356</v>
      </c>
      <c r="E15" s="225" t="str">
        <f t="shared" ca="1" si="0"/>
        <v>R</v>
      </c>
      <c r="F15" s="347"/>
      <c r="G15" s="348">
        <f t="shared" ca="1" si="1"/>
        <v>58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261</v>
      </c>
      <c r="AR15" s="207" t="s">
        <v>147</v>
      </c>
      <c r="AS15" s="207">
        <v>17</v>
      </c>
      <c r="AT15" s="207" t="s">
        <v>262</v>
      </c>
      <c r="AV15" s="168">
        <f t="shared" si="21"/>
        <v>41</v>
      </c>
      <c r="AW15" s="168">
        <f>COUNTIF( AV$7:AV15, AV15 )</f>
        <v>3</v>
      </c>
      <c r="AX15" s="208">
        <f t="shared" si="22"/>
        <v>41.3</v>
      </c>
      <c r="AY15" s="168">
        <f t="shared" si="23"/>
        <v>43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Vectren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VVC</v>
      </c>
    </row>
    <row r="16" spans="1:61" ht="13.8" x14ac:dyDescent="0.25">
      <c r="A16" s="223" t="s">
        <v>252</v>
      </c>
      <c r="B16" s="224" t="s">
        <v>144</v>
      </c>
      <c r="C16" s="224">
        <v>20</v>
      </c>
      <c r="D16" s="224" t="s">
        <v>253</v>
      </c>
      <c r="E16" s="225" t="str">
        <f t="shared" ca="1" si="0"/>
        <v>R</v>
      </c>
      <c r="F16" s="347"/>
      <c r="G16" s="348">
        <f t="shared" ca="1" si="1"/>
        <v>60</v>
      </c>
      <c r="H16" s="349"/>
      <c r="I16" s="232"/>
      <c r="J16" s="210" t="s">
        <v>258</v>
      </c>
      <c r="K16" s="232"/>
      <c r="L16" s="369">
        <f t="array" ref="L16">SUM( IF( LEN( $C$7:$C$65 ) = 0, 0, $C$7:$C$65 ) ) / SUM( IF( LEN( $C$7:$C$65 ) = 0, 0, 1  ) )</f>
        <v>18.293103448275861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18.378378378378379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18.666666666666668</v>
      </c>
      <c r="S16" s="370"/>
      <c r="T16" s="232"/>
      <c r="U16" s="369">
        <f t="array" aca="1" ref="U16" ca="1">SUM( IF( LEN( $C$7:$C$65 ) = 0, 0, IF( $E$7:$E$65 = U3, $C$7:$C$65, 0 ) ) ) / SUM( IF( LEN( $C$7:$C$65 ) = 0, 0, IF( $E$7:$E$65 = U3, 1, 0 ) ) )</f>
        <v>15</v>
      </c>
      <c r="V16" s="371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232</v>
      </c>
      <c r="AR16" s="207" t="s">
        <v>144</v>
      </c>
      <c r="AS16" s="207">
        <v>20</v>
      </c>
      <c r="AT16" s="207" t="s">
        <v>233</v>
      </c>
      <c r="AV16" s="168">
        <f t="shared" si="21"/>
        <v>3</v>
      </c>
      <c r="AW16" s="168">
        <f>COUNTIF( AV$7:AV16, AV16 )</f>
        <v>1</v>
      </c>
      <c r="AX16" s="208">
        <f t="shared" si="22"/>
        <v>3.1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Wisconsin Energy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WEC</v>
      </c>
    </row>
    <row r="17" spans="1:61" ht="13.8" x14ac:dyDescent="0.25">
      <c r="A17" s="223" t="s">
        <v>256</v>
      </c>
      <c r="B17" s="224" t="s">
        <v>144</v>
      </c>
      <c r="C17" s="224">
        <v>20</v>
      </c>
      <c r="D17" s="224" t="s">
        <v>257</v>
      </c>
      <c r="E17" s="225" t="str">
        <f t="shared" ca="1" si="0"/>
        <v>R</v>
      </c>
      <c r="F17" s="347"/>
      <c r="G17" s="348">
        <f t="shared" ca="1" si="1"/>
        <v>61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371</v>
      </c>
      <c r="AR17" s="207" t="s">
        <v>144</v>
      </c>
      <c r="AS17" s="207">
        <v>20</v>
      </c>
      <c r="AT17" s="207" t="s">
        <v>199</v>
      </c>
      <c r="AV17" s="168">
        <f t="shared" si="21"/>
        <v>3</v>
      </c>
      <c r="AW17" s="168">
        <f>COUNTIF( AV$7:AV17, AV17 )</f>
        <v>2</v>
      </c>
      <c r="AX17" s="208">
        <f t="shared" si="22"/>
        <v>3.2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55</v>
      </c>
      <c r="BF17" s="173" t="str">
        <f t="shared" ca="1" si="8"/>
        <v>Xcel Energy Inc.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XEL</v>
      </c>
    </row>
    <row r="18" spans="1:61" ht="13.8" x14ac:dyDescent="0.25">
      <c r="A18" s="223" t="s">
        <v>222</v>
      </c>
      <c r="B18" s="224" t="s">
        <v>145</v>
      </c>
      <c r="C18" s="224">
        <v>19</v>
      </c>
      <c r="D18" s="224" t="s">
        <v>223</v>
      </c>
      <c r="E18" s="225" t="str">
        <f t="shared" ca="1" si="0"/>
        <v>R</v>
      </c>
      <c r="F18" s="347"/>
      <c r="G18" s="348">
        <f t="shared" ca="1" si="1"/>
        <v>7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17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264</v>
      </c>
      <c r="AR18" s="207" t="s">
        <v>147</v>
      </c>
      <c r="AS18" s="207">
        <v>17</v>
      </c>
      <c r="AT18" s="207" t="s">
        <v>265</v>
      </c>
      <c r="AV18" s="168">
        <f t="shared" si="21"/>
        <v>41</v>
      </c>
      <c r="AW18" s="168">
        <f>COUNTIF( AV$7:AV18, AV18 )</f>
        <v>4</v>
      </c>
      <c r="AX18" s="208">
        <f t="shared" si="22"/>
        <v>41.4</v>
      </c>
      <c r="AY18" s="168">
        <f t="shared" si="23"/>
        <v>44</v>
      </c>
      <c r="AZ18" s="169"/>
      <c r="BA18" s="169"/>
      <c r="BC18" s="168">
        <f t="shared" ca="1" si="24"/>
        <v>12</v>
      </c>
      <c r="BD18" s="209">
        <f t="shared" ca="1" si="7"/>
        <v>1</v>
      </c>
      <c r="BF18" s="173" t="str">
        <f t="shared" ca="1" si="8"/>
        <v>ALLETE,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ALE</v>
      </c>
    </row>
    <row r="19" spans="1:61" ht="13.8" x14ac:dyDescent="0.25">
      <c r="A19" s="223" t="s">
        <v>224</v>
      </c>
      <c r="B19" s="224" t="s">
        <v>145</v>
      </c>
      <c r="C19" s="224">
        <v>19</v>
      </c>
      <c r="D19" s="224" t="s">
        <v>225</v>
      </c>
      <c r="E19" s="225" t="str">
        <f t="shared" ca="1" si="0"/>
        <v>R</v>
      </c>
      <c r="F19" s="347"/>
      <c r="G19" s="348">
        <f t="shared" ca="1" si="1"/>
        <v>8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18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266</v>
      </c>
      <c r="AR19" s="207" t="s">
        <v>145</v>
      </c>
      <c r="AS19" s="207">
        <v>19</v>
      </c>
      <c r="AT19" s="207" t="s">
        <v>267</v>
      </c>
      <c r="AV19" s="168">
        <f t="shared" si="21"/>
        <v>12</v>
      </c>
      <c r="AW19" s="168">
        <f>COUNTIF( AV$7:AV19, AV19 )</f>
        <v>4</v>
      </c>
      <c r="AX19" s="208">
        <f t="shared" si="22"/>
        <v>12.4</v>
      </c>
      <c r="AY19" s="168">
        <f t="shared" si="23"/>
        <v>15</v>
      </c>
      <c r="AZ19" s="169"/>
      <c r="BA19" s="169"/>
      <c r="BC19" s="168">
        <f t="shared" ca="1" si="24"/>
        <v>13</v>
      </c>
      <c r="BD19" s="209">
        <f t="shared" ca="1" si="7"/>
        <v>2</v>
      </c>
      <c r="BF19" s="173" t="str">
        <f t="shared" ca="1" si="8"/>
        <v>Alliant Energy Corporation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LNT</v>
      </c>
    </row>
    <row r="20" spans="1:61" ht="13.8" x14ac:dyDescent="0.2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0"/>
        <v>MR</v>
      </c>
      <c r="F20" s="347"/>
      <c r="G20" s="348">
        <f t="shared" ca="1" si="1"/>
        <v>13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268</v>
      </c>
      <c r="AR20" s="207" t="s">
        <v>144</v>
      </c>
      <c r="AS20" s="207">
        <v>20</v>
      </c>
      <c r="AT20" s="207" t="s">
        <v>269</v>
      </c>
      <c r="AV20" s="168">
        <f t="shared" si="21"/>
        <v>3</v>
      </c>
      <c r="AW20" s="168">
        <f>COUNTIF( AV$7:AV20, AV20 )</f>
        <v>3</v>
      </c>
      <c r="AX20" s="208">
        <f t="shared" si="22"/>
        <v>3.3</v>
      </c>
      <c r="AY20" s="168">
        <f t="shared" si="23"/>
        <v>5</v>
      </c>
      <c r="AZ20" s="169"/>
      <c r="BA20" s="169"/>
      <c r="BC20" s="168">
        <f t="shared" ca="1" si="24"/>
        <v>14</v>
      </c>
      <c r="BD20" s="209">
        <f t="shared" ca="1" si="7"/>
        <v>7</v>
      </c>
      <c r="BF20" s="173" t="str">
        <f t="shared" ca="1" si="8"/>
        <v>CenterPoint Energy,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CNP</v>
      </c>
    </row>
    <row r="21" spans="1:61" ht="13.8" x14ac:dyDescent="0.25">
      <c r="A21" s="223" t="s">
        <v>266</v>
      </c>
      <c r="B21" s="224" t="s">
        <v>145</v>
      </c>
      <c r="C21" s="224">
        <v>19</v>
      </c>
      <c r="D21" s="224" t="s">
        <v>267</v>
      </c>
      <c r="E21" s="225" t="str">
        <f t="shared" ca="1" si="0"/>
        <v>R</v>
      </c>
      <c r="F21" s="347"/>
      <c r="G21" s="348">
        <f t="shared" ca="1" si="1"/>
        <v>21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270</v>
      </c>
      <c r="AR21" s="207" t="s">
        <v>147</v>
      </c>
      <c r="AS21" s="207">
        <v>17</v>
      </c>
      <c r="AT21" s="207" t="s">
        <v>271</v>
      </c>
      <c r="AV21" s="168">
        <f t="shared" si="21"/>
        <v>41</v>
      </c>
      <c r="AW21" s="168">
        <f>COUNTIF( AV$7:AV21, AV21 )</f>
        <v>5</v>
      </c>
      <c r="AX21" s="208">
        <f t="shared" si="22"/>
        <v>41.5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DTE</v>
      </c>
    </row>
    <row r="22" spans="1:61" ht="13.8" x14ac:dyDescent="0.25">
      <c r="A22" s="223" t="s">
        <v>276</v>
      </c>
      <c r="B22" s="224" t="s">
        <v>145</v>
      </c>
      <c r="C22" s="224">
        <v>19</v>
      </c>
      <c r="D22" s="224" t="s">
        <v>277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338</v>
      </c>
      <c r="AR22" s="207" t="s">
        <v>146</v>
      </c>
      <c r="AS22" s="207">
        <v>18</v>
      </c>
      <c r="AT22" s="207" t="s">
        <v>341</v>
      </c>
      <c r="AV22" s="168">
        <f t="shared" si="21"/>
        <v>25</v>
      </c>
      <c r="AW22" s="168">
        <f>COUNTIF( AV$7:AV22, AV22 )</f>
        <v>4</v>
      </c>
      <c r="AX22" s="208">
        <f t="shared" si="22"/>
        <v>25.4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8" x14ac:dyDescent="0.25">
      <c r="A23" s="223" t="s">
        <v>418</v>
      </c>
      <c r="B23" s="224" t="s">
        <v>145</v>
      </c>
      <c r="C23" s="224">
        <v>19</v>
      </c>
      <c r="D23" s="224" t="s">
        <v>221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377</v>
      </c>
      <c r="AR23" s="207" t="s">
        <v>147</v>
      </c>
      <c r="AS23" s="207">
        <v>17</v>
      </c>
      <c r="AT23" s="207" t="s">
        <v>378</v>
      </c>
      <c r="AV23" s="168">
        <f t="shared" si="21"/>
        <v>41</v>
      </c>
      <c r="AW23" s="168">
        <f>COUNTIF( AV$7:AV23, AV23 )</f>
        <v>6</v>
      </c>
      <c r="AX23" s="208">
        <f t="shared" si="22"/>
        <v>41.6</v>
      </c>
      <c r="AY23" s="168">
        <f t="shared" si="23"/>
        <v>46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8" x14ac:dyDescent="0.25">
      <c r="A24" s="223" t="s">
        <v>404</v>
      </c>
      <c r="B24" s="224" t="s">
        <v>145</v>
      </c>
      <c r="C24" s="224">
        <v>19</v>
      </c>
      <c r="D24" s="224" t="s">
        <v>241</v>
      </c>
      <c r="E24" s="225" t="str">
        <f t="shared" ca="1" si="0"/>
        <v>R</v>
      </c>
      <c r="F24" s="347"/>
      <c r="G24" s="348">
        <f t="shared" ca="1" si="1"/>
        <v>37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381</v>
      </c>
      <c r="AR24" s="207" t="s">
        <v>192</v>
      </c>
      <c r="AS24" s="207">
        <v>9</v>
      </c>
      <c r="AT24" s="207" t="s">
        <v>369</v>
      </c>
      <c r="AV24" s="168">
        <f t="shared" si="21"/>
        <v>55</v>
      </c>
      <c r="AW24" s="168">
        <f>COUNTIF( AV$7:AV24, AV24 )</f>
        <v>1</v>
      </c>
      <c r="AX24" s="208">
        <f t="shared" si="22"/>
        <v>55.1</v>
      </c>
      <c r="AY24" s="168">
        <f t="shared" si="23"/>
        <v>55</v>
      </c>
      <c r="AZ24" s="169"/>
      <c r="BA24" s="169"/>
      <c r="BC24" s="168">
        <f t="shared" ca="1" si="24"/>
        <v>18</v>
      </c>
      <c r="BD24" s="209">
        <f t="shared" ca="1" si="7"/>
        <v>32</v>
      </c>
      <c r="BF24" s="173" t="str">
        <f t="shared" ca="1" si="8"/>
        <v>Eversource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ES</v>
      </c>
    </row>
    <row r="25" spans="1:61" ht="13.8" x14ac:dyDescent="0.25">
      <c r="A25" s="223" t="s">
        <v>282</v>
      </c>
      <c r="B25" s="224" t="s">
        <v>145</v>
      </c>
      <c r="C25" s="224">
        <v>19</v>
      </c>
      <c r="D25" s="224" t="s">
        <v>283</v>
      </c>
      <c r="E25" s="225" t="str">
        <f t="shared" ca="1" si="0"/>
        <v>MR</v>
      </c>
      <c r="F25" s="347"/>
      <c r="G25" s="348">
        <f t="shared" ca="1" si="1"/>
        <v>41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272</v>
      </c>
      <c r="AR25" s="207" t="s">
        <v>146</v>
      </c>
      <c r="AS25" s="207">
        <v>18</v>
      </c>
      <c r="AT25" s="207" t="s">
        <v>273</v>
      </c>
      <c r="AV25" s="168">
        <f t="shared" si="21"/>
        <v>25</v>
      </c>
      <c r="AW25" s="168">
        <f>COUNTIF( AV$7:AV25, AV25 )</f>
        <v>5</v>
      </c>
      <c r="AX25" s="208">
        <f t="shared" si="22"/>
        <v>25.5</v>
      </c>
      <c r="AY25" s="168">
        <f t="shared" si="23"/>
        <v>29</v>
      </c>
      <c r="AZ25" s="169"/>
      <c r="BA25" s="169"/>
      <c r="BC25" s="168">
        <f t="shared" ca="1" si="24"/>
        <v>19</v>
      </c>
      <c r="BD25" s="209">
        <f t="shared" ca="1" si="7"/>
        <v>36</v>
      </c>
      <c r="BF25" s="173" t="str">
        <f t="shared" ca="1" si="8"/>
        <v>OGE Energy Corp.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OGE</v>
      </c>
    </row>
    <row r="26" spans="1:61" ht="13.8" x14ac:dyDescent="0.25">
      <c r="A26" s="223" t="s">
        <v>392</v>
      </c>
      <c r="B26" s="224" t="s">
        <v>145</v>
      </c>
      <c r="C26" s="224">
        <v>19</v>
      </c>
      <c r="D26" s="224" t="s">
        <v>393</v>
      </c>
      <c r="E26" s="225" t="str">
        <f t="shared" ca="1" si="0"/>
        <v>MR</v>
      </c>
      <c r="F26" s="347"/>
      <c r="G26" s="348">
        <f t="shared" ca="1" si="1"/>
        <v>43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274</v>
      </c>
      <c r="AR26" s="207" t="s">
        <v>146</v>
      </c>
      <c r="AS26" s="207">
        <v>18</v>
      </c>
      <c r="AT26" s="207" t="s">
        <v>275</v>
      </c>
      <c r="AV26" s="168">
        <f t="shared" si="21"/>
        <v>25</v>
      </c>
      <c r="AW26" s="168">
        <f>COUNTIF( AV$7:AV26, AV26 )</f>
        <v>6</v>
      </c>
      <c r="AX26" s="208">
        <f t="shared" si="22"/>
        <v>25.6</v>
      </c>
      <c r="AY26" s="168">
        <f t="shared" si="23"/>
        <v>30</v>
      </c>
      <c r="AZ26" s="169"/>
      <c r="BA26" s="169"/>
      <c r="BC26" s="168">
        <f t="shared" ca="1" si="24"/>
        <v>20</v>
      </c>
      <c r="BD26" s="209">
        <f t="shared" ca="1" si="7"/>
        <v>38</v>
      </c>
      <c r="BF26" s="173" t="str">
        <f t="shared" ca="1" si="8"/>
        <v>Pepco Holdings,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POM</v>
      </c>
    </row>
    <row r="27" spans="1:61" ht="13.8" x14ac:dyDescent="0.25">
      <c r="A27" s="223" t="s">
        <v>437</v>
      </c>
      <c r="B27" s="224" t="s">
        <v>145</v>
      </c>
      <c r="C27" s="224">
        <v>19</v>
      </c>
      <c r="D27" s="224" t="s">
        <v>438</v>
      </c>
      <c r="E27" s="225" t="str">
        <f t="shared" ca="1" si="0"/>
        <v>R</v>
      </c>
      <c r="F27" s="347"/>
      <c r="G27" s="348">
        <f t="shared" ca="1" si="1"/>
        <v>49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280</v>
      </c>
      <c r="AR27" s="207" t="s">
        <v>147</v>
      </c>
      <c r="AS27" s="207">
        <v>17</v>
      </c>
      <c r="AT27" s="207" t="s">
        <v>281</v>
      </c>
      <c r="AV27" s="168">
        <f t="shared" si="21"/>
        <v>41</v>
      </c>
      <c r="AW27" s="168">
        <f>COUNTIF( AV$7:AV27, AV27 )</f>
        <v>7</v>
      </c>
      <c r="AX27" s="208">
        <f t="shared" si="22"/>
        <v>41.7</v>
      </c>
      <c r="AY27" s="168">
        <f t="shared" si="23"/>
        <v>47</v>
      </c>
      <c r="AZ27" s="169"/>
      <c r="BA27" s="169"/>
      <c r="BC27" s="168">
        <f t="shared" ca="1" si="24"/>
        <v>21</v>
      </c>
      <c r="BD27" s="209">
        <f t="shared" ca="1" si="7"/>
        <v>44</v>
      </c>
      <c r="BF27" s="173" t="str">
        <f t="shared" ca="1" si="8"/>
        <v>Progress Energy,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PGN</v>
      </c>
    </row>
    <row r="28" spans="1:61" ht="13.8" x14ac:dyDescent="0.25">
      <c r="A28" s="223" t="s">
        <v>357</v>
      </c>
      <c r="B28" s="224" t="s">
        <v>145</v>
      </c>
      <c r="C28" s="224">
        <v>19</v>
      </c>
      <c r="D28" s="224" t="s">
        <v>358</v>
      </c>
      <c r="E28" s="225" t="str">
        <f t="shared" ca="1" si="0"/>
        <v>MR</v>
      </c>
      <c r="F28" s="347"/>
      <c r="G28" s="348">
        <f t="shared" ca="1" si="1"/>
        <v>51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362</v>
      </c>
      <c r="AR28" s="207" t="s">
        <v>146</v>
      </c>
      <c r="AS28" s="207">
        <v>18</v>
      </c>
      <c r="AT28" s="207" t="s">
        <v>363</v>
      </c>
      <c r="AV28" s="168">
        <f t="shared" si="21"/>
        <v>25</v>
      </c>
      <c r="AW28" s="168">
        <f>COUNTIF( AV$7:AV28, AV28 )</f>
        <v>7</v>
      </c>
      <c r="AX28" s="208">
        <f t="shared" si="22"/>
        <v>25.7</v>
      </c>
      <c r="AY28" s="168">
        <f t="shared" si="23"/>
        <v>31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SCANA Corporation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SCG</v>
      </c>
    </row>
    <row r="29" spans="1:61" ht="13.8" x14ac:dyDescent="0.25">
      <c r="A29" s="223" t="s">
        <v>296</v>
      </c>
      <c r="B29" s="224" t="s">
        <v>145</v>
      </c>
      <c r="C29" s="224">
        <v>19</v>
      </c>
      <c r="D29" s="224" t="s">
        <v>297</v>
      </c>
      <c r="E29" s="225" t="str">
        <f t="shared" ca="1" si="0"/>
        <v>MR</v>
      </c>
      <c r="F29" s="347"/>
      <c r="G29" s="348">
        <f t="shared" ca="1" si="1"/>
        <v>52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si="21"/>
        <v>41</v>
      </c>
      <c r="AW29" s="168">
        <f>COUNTIF( AV$7:AV29, AV29 )</f>
        <v>8</v>
      </c>
      <c r="AX29" s="208">
        <f t="shared" si="22"/>
        <v>41.8</v>
      </c>
      <c r="AY29" s="168">
        <f t="shared" si="23"/>
        <v>48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Sempra Energy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SRE</v>
      </c>
    </row>
    <row r="30" spans="1:61" ht="13.8" x14ac:dyDescent="0.25">
      <c r="A30" s="223" t="s">
        <v>379</v>
      </c>
      <c r="B30" s="224" t="s">
        <v>145</v>
      </c>
      <c r="C30" s="224">
        <v>19</v>
      </c>
      <c r="D30" s="224" t="s">
        <v>385</v>
      </c>
      <c r="E30" s="225" t="str">
        <f t="shared" ca="1" si="0"/>
        <v>R</v>
      </c>
      <c r="F30" s="347"/>
      <c r="G30" s="348">
        <f t="shared" ca="1" si="1"/>
        <v>54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5"/>
        <v/>
      </c>
      <c r="AQ30" s="207" t="s">
        <v>397</v>
      </c>
      <c r="AR30" s="207" t="s">
        <v>144</v>
      </c>
      <c r="AS30" s="207">
        <v>20</v>
      </c>
      <c r="AT30" s="207" t="s">
        <v>398</v>
      </c>
      <c r="AV30" s="168">
        <f t="shared" si="21"/>
        <v>3</v>
      </c>
      <c r="AW30" s="168">
        <f>COUNTIF( AV$7:AV30, AV30 )</f>
        <v>4</v>
      </c>
      <c r="AX30" s="208">
        <f t="shared" si="22"/>
        <v>3.4</v>
      </c>
      <c r="AY30" s="168">
        <f t="shared" si="23"/>
        <v>6</v>
      </c>
      <c r="AZ30" s="169"/>
      <c r="BA30" s="169"/>
      <c r="BC30" s="168">
        <f t="shared" ca="1" si="24"/>
        <v>24</v>
      </c>
      <c r="BD30" s="209">
        <f t="shared" ca="1" si="7"/>
        <v>50</v>
      </c>
      <c r="BF30" s="173" t="str">
        <f t="shared" ca="1" si="8"/>
        <v>TECO Energy, Inc.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TE</v>
      </c>
    </row>
    <row r="31" spans="1:61" ht="13.8" x14ac:dyDescent="0.25">
      <c r="A31" s="223" t="s">
        <v>227</v>
      </c>
      <c r="B31" s="224" t="s">
        <v>146</v>
      </c>
      <c r="C31" s="224">
        <v>18</v>
      </c>
      <c r="D31" s="224" t="s">
        <v>228</v>
      </c>
      <c r="E31" s="225" t="str">
        <f t="shared" ca="1" si="0"/>
        <v>R</v>
      </c>
      <c r="F31" s="347"/>
      <c r="G31" s="348">
        <f t="shared" ca="1" si="1"/>
        <v>10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288</v>
      </c>
      <c r="AR31" s="207" t="s">
        <v>146</v>
      </c>
      <c r="AS31" s="207">
        <v>18</v>
      </c>
      <c r="AT31" s="207" t="s">
        <v>289</v>
      </c>
      <c r="AV31" s="168">
        <f t="shared" si="21"/>
        <v>25</v>
      </c>
      <c r="AW31" s="168">
        <f>COUNTIF( AV$7:AV31, AV31 )</f>
        <v>8</v>
      </c>
      <c r="AX31" s="208">
        <f t="shared" si="22"/>
        <v>25.8</v>
      </c>
      <c r="AY31" s="168">
        <f t="shared" si="23"/>
        <v>32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ht="13.8" x14ac:dyDescent="0.25">
      <c r="A32" s="223" t="s">
        <v>243</v>
      </c>
      <c r="B32" s="224" t="s">
        <v>146</v>
      </c>
      <c r="C32" s="224">
        <v>18</v>
      </c>
      <c r="D32" s="224" t="s">
        <v>244</v>
      </c>
      <c r="E32" s="225" t="str">
        <f t="shared" ca="1" si="0"/>
        <v>R</v>
      </c>
      <c r="F32" s="347"/>
      <c r="G32" s="348">
        <f t="shared" ca="1" si="1"/>
        <v>11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405</v>
      </c>
      <c r="AR32" s="207" t="s">
        <v>144</v>
      </c>
      <c r="AS32" s="207">
        <v>20</v>
      </c>
      <c r="AT32" s="207" t="s">
        <v>406</v>
      </c>
      <c r="AV32" s="168">
        <f t="shared" si="21"/>
        <v>3</v>
      </c>
      <c r="AW32" s="168">
        <f>COUNTIF( AV$7:AV32, AV32 )</f>
        <v>5</v>
      </c>
      <c r="AX32" s="208">
        <f t="shared" si="22"/>
        <v>3.5</v>
      </c>
      <c r="AY32" s="168">
        <f t="shared" si="23"/>
        <v>7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ht="13.8" x14ac:dyDescent="0.25">
      <c r="A33" s="223" t="s">
        <v>259</v>
      </c>
      <c r="B33" s="224" t="s">
        <v>146</v>
      </c>
      <c r="C33" s="224">
        <v>18</v>
      </c>
      <c r="D33" s="224" t="s">
        <v>388</v>
      </c>
      <c r="E33" s="225" t="str">
        <f t="shared" ca="1" si="0"/>
        <v>R</v>
      </c>
      <c r="F33" s="347"/>
      <c r="G33" s="348">
        <f t="shared" ca="1" si="1"/>
        <v>16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292</v>
      </c>
      <c r="AR33" s="207" t="s">
        <v>147</v>
      </c>
      <c r="AS33" s="207">
        <v>17</v>
      </c>
      <c r="AT33" s="207" t="s">
        <v>293</v>
      </c>
      <c r="AV33" s="168">
        <f t="shared" si="21"/>
        <v>41</v>
      </c>
      <c r="AW33" s="168">
        <f>COUNTIF( AV$7:AV33, AV33 )</f>
        <v>9</v>
      </c>
      <c r="AX33" s="208">
        <f t="shared" si="22"/>
        <v>41.9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ht="13.8" x14ac:dyDescent="0.25">
      <c r="A34" s="223" t="s">
        <v>338</v>
      </c>
      <c r="B34" s="224" t="s">
        <v>146</v>
      </c>
      <c r="C34" s="224">
        <v>18</v>
      </c>
      <c r="D34" s="224" t="s">
        <v>341</v>
      </c>
      <c r="E34" s="225" t="str">
        <f t="shared" ca="1" si="0"/>
        <v>R</v>
      </c>
      <c r="F34" s="347"/>
      <c r="G34" s="348">
        <f t="shared" ca="1" si="1"/>
        <v>24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276</v>
      </c>
      <c r="AR34" s="207" t="s">
        <v>145</v>
      </c>
      <c r="AS34" s="207">
        <v>19</v>
      </c>
      <c r="AT34" s="207" t="s">
        <v>277</v>
      </c>
      <c r="AV34" s="168">
        <f t="shared" si="21"/>
        <v>12</v>
      </c>
      <c r="AW34" s="168">
        <f>COUNTIF( AV$7:AV34, AV34 )</f>
        <v>5</v>
      </c>
      <c r="AX34" s="208">
        <f t="shared" si="22"/>
        <v>12.5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EE</v>
      </c>
    </row>
    <row r="35" spans="1:61" ht="13.8" x14ac:dyDescent="0.25">
      <c r="A35" s="223" t="s">
        <v>272</v>
      </c>
      <c r="B35" s="224" t="s">
        <v>146</v>
      </c>
      <c r="C35" s="224">
        <v>18</v>
      </c>
      <c r="D35" s="224" t="s">
        <v>273</v>
      </c>
      <c r="E35" s="225" t="str">
        <f t="shared" ca="1" si="0"/>
        <v>R</v>
      </c>
      <c r="F35" s="347"/>
      <c r="G35" s="348">
        <f t="shared" ca="1" si="1"/>
        <v>26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418</v>
      </c>
      <c r="AR35" s="207" t="s">
        <v>145</v>
      </c>
      <c r="AS35" s="207">
        <v>19</v>
      </c>
      <c r="AT35" s="207" t="s">
        <v>221</v>
      </c>
      <c r="AV35" s="168">
        <f t="shared" si="21"/>
        <v>12</v>
      </c>
      <c r="AW35" s="168">
        <f>COUNTIF( AV$7:AV35, AV35 )</f>
        <v>6</v>
      </c>
      <c r="AX35" s="208">
        <f t="shared" si="22"/>
        <v>12.6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19</v>
      </c>
      <c r="BF35" s="173" t="str">
        <f t="shared" ca="1" si="8"/>
        <v>Entergy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ETR</v>
      </c>
    </row>
    <row r="36" spans="1:61" ht="13.8" x14ac:dyDescent="0.25">
      <c r="A36" s="223" t="s">
        <v>274</v>
      </c>
      <c r="B36" s="224" t="s">
        <v>146</v>
      </c>
      <c r="C36" s="224">
        <v>18</v>
      </c>
      <c r="D36" s="224" t="s">
        <v>275</v>
      </c>
      <c r="E36" s="225" t="str">
        <f t="shared" ca="1" si="0"/>
        <v>MR</v>
      </c>
      <c r="F36" s="347"/>
      <c r="G36" s="348">
        <f t="shared" ca="1" si="1"/>
        <v>27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245</v>
      </c>
      <c r="AR36" s="207" t="s">
        <v>144</v>
      </c>
      <c r="AS36" s="207">
        <v>20</v>
      </c>
      <c r="AT36" s="207" t="s">
        <v>246</v>
      </c>
      <c r="AV36" s="168">
        <f t="shared" si="21"/>
        <v>3</v>
      </c>
      <c r="AW36" s="168">
        <f>COUNTIF( AV$7:AV36, AV36 )</f>
        <v>6</v>
      </c>
      <c r="AX36" s="208">
        <f t="shared" si="22"/>
        <v>3.6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7"/>
        <v>20</v>
      </c>
      <c r="BF36" s="173" t="str">
        <f t="shared" ca="1" si="8"/>
        <v>Exelon Corporation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EXC</v>
      </c>
    </row>
    <row r="37" spans="1:61" ht="13.8" x14ac:dyDescent="0.25">
      <c r="A37" s="223" t="s">
        <v>362</v>
      </c>
      <c r="B37" s="224" t="s">
        <v>146</v>
      </c>
      <c r="C37" s="224">
        <v>18</v>
      </c>
      <c r="D37" s="224" t="s">
        <v>363</v>
      </c>
      <c r="E37" s="225" t="str">
        <f t="shared" ca="1" si="0"/>
        <v>R</v>
      </c>
      <c r="F37" s="347"/>
      <c r="G37" s="348">
        <f t="shared" ca="1" si="1"/>
        <v>29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278</v>
      </c>
      <c r="AR37" s="207" t="s">
        <v>147</v>
      </c>
      <c r="AS37" s="207">
        <v>17</v>
      </c>
      <c r="AT37" s="207" t="s">
        <v>279</v>
      </c>
      <c r="AV37" s="168">
        <f t="shared" si="21"/>
        <v>41</v>
      </c>
      <c r="AW37" s="168">
        <f>COUNTIF( AV$7:AV37, AV37 )</f>
        <v>10</v>
      </c>
      <c r="AX37" s="208">
        <f t="shared" si="22"/>
        <v>42</v>
      </c>
      <c r="AY37" s="168">
        <f t="shared" si="23"/>
        <v>50</v>
      </c>
      <c r="AZ37" s="169"/>
      <c r="BA37" s="169"/>
      <c r="BC37" s="168">
        <f t="shared" ca="1" si="24"/>
        <v>31</v>
      </c>
      <c r="BD37" s="209">
        <f t="shared" ca="1" si="7"/>
        <v>22</v>
      </c>
      <c r="BF37" s="173" t="str">
        <f t="shared" ca="1" si="8"/>
        <v>Great Plains Energy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GXP</v>
      </c>
    </row>
    <row r="38" spans="1:61" ht="13.8" x14ac:dyDescent="0.25">
      <c r="A38" s="223" t="s">
        <v>288</v>
      </c>
      <c r="B38" s="224" t="s">
        <v>146</v>
      </c>
      <c r="C38" s="224">
        <v>18</v>
      </c>
      <c r="D38" s="224" t="s">
        <v>289</v>
      </c>
      <c r="E38" s="225" t="str">
        <f t="shared" ca="1" si="0"/>
        <v>R</v>
      </c>
      <c r="F38" s="347"/>
      <c r="G38" s="348">
        <f t="shared" ca="1" si="1"/>
        <v>31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404</v>
      </c>
      <c r="AR38" s="207" t="s">
        <v>145</v>
      </c>
      <c r="AS38" s="207">
        <v>19</v>
      </c>
      <c r="AT38" s="207" t="s">
        <v>241</v>
      </c>
      <c r="AV38" s="168">
        <f t="shared" si="21"/>
        <v>12</v>
      </c>
      <c r="AW38" s="168">
        <f>COUNTIF( AV$7:AV38, AV38 )</f>
        <v>7</v>
      </c>
      <c r="AX38" s="208">
        <f t="shared" si="22"/>
        <v>12.7</v>
      </c>
      <c r="AY38" s="168">
        <f t="shared" si="23"/>
        <v>18</v>
      </c>
      <c r="AZ38" s="169"/>
      <c r="BA38" s="169"/>
      <c r="BC38" s="168">
        <f t="shared" ca="1" si="24"/>
        <v>32</v>
      </c>
      <c r="BD38" s="209">
        <f t="shared" ca="1" si="7"/>
        <v>25</v>
      </c>
      <c r="BF38" s="173" t="str">
        <f t="shared" ca="1" si="8"/>
        <v>IDACORP, Inc.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IDA</v>
      </c>
    </row>
    <row r="39" spans="1:61" ht="13.8" x14ac:dyDescent="0.25">
      <c r="A39" s="223" t="s">
        <v>302</v>
      </c>
      <c r="B39" s="224" t="s">
        <v>146</v>
      </c>
      <c r="C39" s="224">
        <v>18</v>
      </c>
      <c r="D39" s="224" t="s">
        <v>303</v>
      </c>
      <c r="E39" s="225" t="str">
        <f t="shared" ca="1" si="0"/>
        <v>R</v>
      </c>
      <c r="F39" s="347"/>
      <c r="G39" s="348">
        <f t="shared" ca="1" si="1"/>
        <v>38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302</v>
      </c>
      <c r="AR39" s="207" t="s">
        <v>146</v>
      </c>
      <c r="AS39" s="207">
        <v>18</v>
      </c>
      <c r="AT39" s="207" t="s">
        <v>303</v>
      </c>
      <c r="AV39" s="168">
        <f t="shared" si="21"/>
        <v>25</v>
      </c>
      <c r="AW39" s="168">
        <f>COUNTIF( AV$7:AV39, AV39 )</f>
        <v>9</v>
      </c>
      <c r="AX39" s="208">
        <f t="shared" si="22"/>
        <v>25.9</v>
      </c>
      <c r="AY39" s="168">
        <f t="shared" si="23"/>
        <v>33</v>
      </c>
      <c r="AZ39" s="169"/>
      <c r="BA39" s="169"/>
      <c r="BC39" s="168">
        <f t="shared" ca="1" si="24"/>
        <v>33</v>
      </c>
      <c r="BD39" s="209">
        <f t="shared" ca="1" si="7"/>
        <v>33</v>
      </c>
      <c r="BF39" s="173" t="str">
        <f t="shared" ref="BF39:BF63" ca="1" si="25">OFFSET( AQ$6, $BD39, 0 )</f>
        <v>NorthWestern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NWE</v>
      </c>
    </row>
    <row r="40" spans="1:61" ht="13.8" x14ac:dyDescent="0.25">
      <c r="A40" s="223" t="s">
        <v>306</v>
      </c>
      <c r="B40" s="224" t="s">
        <v>146</v>
      </c>
      <c r="C40" s="224">
        <v>18</v>
      </c>
      <c r="D40" s="224" t="s">
        <v>307</v>
      </c>
      <c r="E40" s="225" t="str">
        <f t="shared" ca="1" si="0"/>
        <v>R</v>
      </c>
      <c r="F40" s="347"/>
      <c r="G40" s="348">
        <f t="shared" ca="1" si="1"/>
        <v>44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441</v>
      </c>
      <c r="AR40" s="207" t="s">
        <v>169</v>
      </c>
      <c r="AS40" s="207">
        <v>22</v>
      </c>
      <c r="AT40" s="207" t="s">
        <v>442</v>
      </c>
      <c r="AV40" s="168">
        <f t="shared" si="21"/>
        <v>1</v>
      </c>
      <c r="AW40" s="168">
        <f>COUNTIF( AV$7:AV40, AV40 )</f>
        <v>1</v>
      </c>
      <c r="AX40" s="208">
        <f t="shared" si="22"/>
        <v>1.1000000000000001</v>
      </c>
      <c r="AY40" s="168">
        <f t="shared" si="23"/>
        <v>1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PG&amp;E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PCG</v>
      </c>
    </row>
    <row r="41" spans="1:61" ht="13.8" x14ac:dyDescent="0.25">
      <c r="A41" s="223" t="s">
        <v>286</v>
      </c>
      <c r="B41" s="224" t="s">
        <v>146</v>
      </c>
      <c r="C41" s="224">
        <v>18</v>
      </c>
      <c r="D41" s="224" t="s">
        <v>287</v>
      </c>
      <c r="E41" s="225" t="str">
        <f t="shared" ca="1" si="0"/>
        <v>R</v>
      </c>
      <c r="F41" s="347"/>
      <c r="G41" s="348">
        <f t="shared" ca="1" si="1"/>
        <v>45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421</v>
      </c>
      <c r="AR41" s="207" t="s">
        <v>178</v>
      </c>
      <c r="AS41" s="207">
        <v>16</v>
      </c>
      <c r="AT41" s="207" t="s">
        <v>422</v>
      </c>
      <c r="AV41" s="168">
        <f t="shared" si="21"/>
        <v>52</v>
      </c>
      <c r="AW41" s="168">
        <f>COUNTIF( AV$7:AV41, AV41 )</f>
        <v>1</v>
      </c>
      <c r="AX41" s="208">
        <f t="shared" si="22"/>
        <v>52.1</v>
      </c>
      <c r="AY41" s="168">
        <f t="shared" si="23"/>
        <v>52</v>
      </c>
      <c r="AZ41" s="169"/>
      <c r="BA41" s="169"/>
      <c r="BC41" s="168">
        <f t="shared" ca="1" si="24"/>
        <v>35</v>
      </c>
      <c r="BD41" s="209">
        <f t="shared" ca="1" si="7"/>
        <v>40</v>
      </c>
      <c r="BF41" s="173" t="str">
        <f t="shared" ca="1" si="25"/>
        <v>Pinnacle West Capital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PNW</v>
      </c>
    </row>
    <row r="42" spans="1:61" ht="13.8" x14ac:dyDescent="0.25">
      <c r="A42" s="223" t="s">
        <v>290</v>
      </c>
      <c r="B42" s="224" t="s">
        <v>146</v>
      </c>
      <c r="C42" s="224">
        <v>18</v>
      </c>
      <c r="D42" s="224" t="s">
        <v>291</v>
      </c>
      <c r="E42" s="225" t="str">
        <f t="shared" ca="1" si="0"/>
        <v>R</v>
      </c>
      <c r="F42" s="347"/>
      <c r="G42" s="348">
        <f t="shared" ca="1" si="1"/>
        <v>47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282</v>
      </c>
      <c r="AR42" s="207" t="s">
        <v>145</v>
      </c>
      <c r="AS42" s="207">
        <v>19</v>
      </c>
      <c r="AT42" s="207" t="s">
        <v>283</v>
      </c>
      <c r="AV42" s="168">
        <f t="shared" si="21"/>
        <v>12</v>
      </c>
      <c r="AW42" s="168">
        <f>COUNTIF( AV$7:AV42, AV42 )</f>
        <v>8</v>
      </c>
      <c r="AX42" s="208">
        <f t="shared" si="22"/>
        <v>12.8</v>
      </c>
      <c r="AY42" s="168">
        <f t="shared" si="23"/>
        <v>19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Portland General Electric Company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POR</v>
      </c>
    </row>
    <row r="43" spans="1:61" ht="13.8" x14ac:dyDescent="0.25">
      <c r="A43" s="223" t="s">
        <v>248</v>
      </c>
      <c r="B43" s="224" t="s">
        <v>146</v>
      </c>
      <c r="C43" s="224">
        <v>18</v>
      </c>
      <c r="D43" s="224" t="s">
        <v>249</v>
      </c>
      <c r="E43" s="225" t="str">
        <f t="shared" ca="1" si="0"/>
        <v>MR</v>
      </c>
      <c r="F43" s="347"/>
      <c r="G43" s="348">
        <f t="shared" ca="1" si="1"/>
        <v>48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304</v>
      </c>
      <c r="AR43" s="207" t="s">
        <v>147</v>
      </c>
      <c r="AS43" s="207">
        <v>17</v>
      </c>
      <c r="AT43" s="207" t="s">
        <v>305</v>
      </c>
      <c r="AV43" s="168">
        <f t="shared" si="21"/>
        <v>41</v>
      </c>
      <c r="AW43" s="168">
        <f>COUNTIF( AV$7:AV43, AV43 )</f>
        <v>11</v>
      </c>
      <c r="AX43" s="208">
        <f t="shared" si="22"/>
        <v>42.1</v>
      </c>
      <c r="AY43" s="168">
        <f t="shared" si="23"/>
        <v>51</v>
      </c>
      <c r="AZ43" s="169"/>
      <c r="BA43" s="169"/>
      <c r="BC43" s="168">
        <f t="shared" ca="1" si="24"/>
        <v>37</v>
      </c>
      <c r="BD43" s="209">
        <f t="shared" ca="1" si="7"/>
        <v>43</v>
      </c>
      <c r="BF43" s="173" t="str">
        <f t="shared" ca="1" si="25"/>
        <v>PPL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PPL</v>
      </c>
    </row>
    <row r="44" spans="1:61" ht="13.8" x14ac:dyDescent="0.25">
      <c r="A44" s="223" t="s">
        <v>294</v>
      </c>
      <c r="B44" s="224" t="s">
        <v>146</v>
      </c>
      <c r="C44" s="224">
        <v>18</v>
      </c>
      <c r="D44" s="224" t="s">
        <v>295</v>
      </c>
      <c r="E44" s="225" t="str">
        <f t="shared" ca="1" si="0"/>
        <v>MR</v>
      </c>
      <c r="F44" s="347"/>
      <c r="G44" s="348">
        <f t="shared" ca="1" si="1"/>
        <v>50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392</v>
      </c>
      <c r="AR44" s="207" t="s">
        <v>145</v>
      </c>
      <c r="AS44" s="207">
        <v>19</v>
      </c>
      <c r="AT44" s="207" t="s">
        <v>393</v>
      </c>
      <c r="AV44" s="168">
        <f t="shared" si="21"/>
        <v>12</v>
      </c>
      <c r="AW44" s="168">
        <f>COUNTIF( AV$7:AV44, AV44 )</f>
        <v>9</v>
      </c>
      <c r="AX44" s="208">
        <f t="shared" si="22"/>
        <v>12.9</v>
      </c>
      <c r="AY44" s="168">
        <f t="shared" si="23"/>
        <v>20</v>
      </c>
      <c r="AZ44" s="169"/>
      <c r="BA44" s="169"/>
      <c r="BC44" s="168">
        <f t="shared" ca="1" si="24"/>
        <v>38</v>
      </c>
      <c r="BD44" s="209">
        <f t="shared" ca="1" si="7"/>
        <v>45</v>
      </c>
      <c r="BF44" s="173" t="str">
        <f t="shared" ca="1" si="25"/>
        <v>Public Service Enterprise Group Incorporated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PEG</v>
      </c>
    </row>
    <row r="45" spans="1:61" ht="13.8" x14ac:dyDescent="0.25">
      <c r="A45" s="223" t="s">
        <v>399</v>
      </c>
      <c r="B45" s="224" t="s">
        <v>146</v>
      </c>
      <c r="C45" s="224">
        <v>18</v>
      </c>
      <c r="D45" s="224" t="s">
        <v>400</v>
      </c>
      <c r="E45" s="225" t="str">
        <f t="shared" ca="1" si="0"/>
        <v>R</v>
      </c>
      <c r="F45" s="347"/>
      <c r="G45" s="348">
        <f t="shared" ca="1" si="1"/>
        <v>55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306</v>
      </c>
      <c r="AR45" s="207" t="s">
        <v>146</v>
      </c>
      <c r="AS45" s="207">
        <v>18</v>
      </c>
      <c r="AT45" s="207" t="s">
        <v>307</v>
      </c>
      <c r="AV45" s="168">
        <f t="shared" si="21"/>
        <v>25</v>
      </c>
      <c r="AW45" s="168">
        <f>COUNTIF( AV$7:AV45, AV45 )</f>
        <v>10</v>
      </c>
      <c r="AX45" s="208">
        <f t="shared" si="22"/>
        <v>26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51</v>
      </c>
      <c r="BF45" s="173" t="str">
        <f t="shared" ca="1" si="25"/>
        <v>UIL Holdings Corporation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UIL</v>
      </c>
    </row>
    <row r="46" spans="1:61" ht="13.8" x14ac:dyDescent="0.25">
      <c r="A46" s="223" t="s">
        <v>364</v>
      </c>
      <c r="B46" s="224" t="s">
        <v>146</v>
      </c>
      <c r="C46" s="224">
        <v>18</v>
      </c>
      <c r="D46" s="224" t="s">
        <v>365</v>
      </c>
      <c r="E46" s="225" t="str">
        <f t="shared" ca="1" si="0"/>
        <v>R</v>
      </c>
      <c r="F46" s="347"/>
      <c r="G46" s="348">
        <f t="shared" ca="1" si="1"/>
        <v>59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286</v>
      </c>
      <c r="AR46" s="207" t="s">
        <v>146</v>
      </c>
      <c r="AS46" s="207">
        <v>18</v>
      </c>
      <c r="AT46" s="207" t="s">
        <v>287</v>
      </c>
      <c r="AV46" s="168">
        <f t="shared" si="21"/>
        <v>25</v>
      </c>
      <c r="AW46" s="168">
        <f>COUNTIF( AV$7:AV46, AV46 )</f>
        <v>11</v>
      </c>
      <c r="AX46" s="208">
        <f t="shared" si="22"/>
        <v>26.1</v>
      </c>
      <c r="AY46" s="168">
        <f t="shared" si="23"/>
        <v>35</v>
      </c>
      <c r="AZ46" s="169"/>
      <c r="BA46" s="169"/>
      <c r="BC46" s="168">
        <f t="shared" ca="1" si="24"/>
        <v>40</v>
      </c>
      <c r="BD46" s="209">
        <f t="shared" ca="1" si="7"/>
        <v>53</v>
      </c>
      <c r="BF46" s="173" t="str">
        <f t="shared" ca="1" si="25"/>
        <v>Westar Energy, Inc.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WR</v>
      </c>
    </row>
    <row r="47" spans="1:61" ht="13.8" x14ac:dyDescent="0.25">
      <c r="A47" s="223" t="s">
        <v>230</v>
      </c>
      <c r="B47" s="224" t="s">
        <v>147</v>
      </c>
      <c r="C47" s="224">
        <v>17</v>
      </c>
      <c r="D47" s="224" t="s">
        <v>231</v>
      </c>
      <c r="E47" s="225" t="str">
        <f t="shared" ca="1" si="0"/>
        <v>R</v>
      </c>
      <c r="F47" s="347"/>
      <c r="G47" s="348">
        <f t="shared" ca="1" si="1"/>
        <v>9</v>
      </c>
      <c r="H47" s="349"/>
      <c r="I47" s="349"/>
      <c r="J47" s="187" t="s">
        <v>383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308</v>
      </c>
      <c r="AR47" s="207" t="s">
        <v>180</v>
      </c>
      <c r="AS47" s="207">
        <v>15</v>
      </c>
      <c r="AT47" s="207" t="s">
        <v>309</v>
      </c>
      <c r="AV47" s="168">
        <f t="shared" si="21"/>
        <v>54</v>
      </c>
      <c r="AW47" s="168">
        <f>COUNTIF( AV$7:AV47, AV47 )</f>
        <v>1</v>
      </c>
      <c r="AX47" s="208">
        <f t="shared" si="22"/>
        <v>54.1</v>
      </c>
      <c r="AY47" s="168">
        <f t="shared" si="23"/>
        <v>54</v>
      </c>
      <c r="AZ47" s="169"/>
      <c r="BA47" s="169"/>
      <c r="BC47" s="168">
        <f t="shared" ca="1" si="24"/>
        <v>41</v>
      </c>
      <c r="BD47" s="209">
        <f t="shared" ca="1" si="7"/>
        <v>3</v>
      </c>
      <c r="BF47" s="173" t="str">
        <f t="shared" ca="1" si="25"/>
        <v>Ameren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AEE</v>
      </c>
    </row>
    <row r="48" spans="1:61" ht="13.8" x14ac:dyDescent="0.25">
      <c r="A48" s="223" t="s">
        <v>250</v>
      </c>
      <c r="B48" s="224" t="s">
        <v>147</v>
      </c>
      <c r="C48" s="224">
        <v>17</v>
      </c>
      <c r="D48" s="224" t="s">
        <v>251</v>
      </c>
      <c r="E48" s="225" t="str">
        <f t="shared" ca="1" si="0"/>
        <v>MR</v>
      </c>
      <c r="F48" s="347"/>
      <c r="G48" s="348">
        <f t="shared" ca="1" si="1"/>
        <v>12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290</v>
      </c>
      <c r="AR48" s="207" t="s">
        <v>146</v>
      </c>
      <c r="AS48" s="207">
        <v>18</v>
      </c>
      <c r="AT48" s="207" t="s">
        <v>291</v>
      </c>
      <c r="AV48" s="168">
        <f t="shared" si="21"/>
        <v>25</v>
      </c>
      <c r="AW48" s="168">
        <f>COUNTIF( AV$7:AV48, AV48 )</f>
        <v>12</v>
      </c>
      <c r="AX48" s="208">
        <f t="shared" si="22"/>
        <v>26.2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BKH</v>
      </c>
    </row>
    <row r="49" spans="1:61" ht="13.8" x14ac:dyDescent="0.25">
      <c r="A49" s="223" t="s">
        <v>261</v>
      </c>
      <c r="B49" s="224" t="s">
        <v>147</v>
      </c>
      <c r="C49" s="224">
        <v>17</v>
      </c>
      <c r="D49" s="224" t="s">
        <v>262</v>
      </c>
      <c r="E49" s="225" t="str">
        <f t="shared" ca="1" si="0"/>
        <v>R</v>
      </c>
      <c r="F49" s="347"/>
      <c r="G49" s="348">
        <f t="shared" ca="1" si="1"/>
        <v>17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248</v>
      </c>
      <c r="AR49" s="207" t="s">
        <v>146</v>
      </c>
      <c r="AS49" s="207">
        <v>18</v>
      </c>
      <c r="AT49" s="207" t="s">
        <v>249</v>
      </c>
      <c r="AV49" s="168">
        <f t="shared" si="21"/>
        <v>25</v>
      </c>
      <c r="AW49" s="168">
        <f>COUNTIF( AV$7:AV49, AV49 )</f>
        <v>13</v>
      </c>
      <c r="AX49" s="208">
        <f t="shared" si="22"/>
        <v>26.3</v>
      </c>
      <c r="AY49" s="168">
        <f t="shared" si="23"/>
        <v>37</v>
      </c>
      <c r="AZ49" s="169"/>
      <c r="BA49" s="169"/>
      <c r="BC49" s="168">
        <f t="shared" ca="1" si="24"/>
        <v>43</v>
      </c>
      <c r="BD49" s="209">
        <f t="shared" ca="1" si="7"/>
        <v>9</v>
      </c>
      <c r="BF49" s="173" t="str">
        <f t="shared" ca="1" si="25"/>
        <v>CMS Energy Corporation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CMS</v>
      </c>
    </row>
    <row r="50" spans="1:61" ht="13.8" x14ac:dyDescent="0.25">
      <c r="A50" s="223" t="s">
        <v>264</v>
      </c>
      <c r="B50" s="224" t="s">
        <v>147</v>
      </c>
      <c r="C50" s="224">
        <v>17</v>
      </c>
      <c r="D50" s="224" t="s">
        <v>265</v>
      </c>
      <c r="E50" s="225" t="str">
        <f t="shared" ca="1" si="0"/>
        <v>R</v>
      </c>
      <c r="F50" s="347"/>
      <c r="G50" s="348">
        <f t="shared" ca="1" si="1"/>
        <v>63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437</v>
      </c>
      <c r="AR50" s="207" t="s">
        <v>145</v>
      </c>
      <c r="AS50" s="207">
        <v>19</v>
      </c>
      <c r="AT50" s="207" t="s">
        <v>438</v>
      </c>
      <c r="AV50" s="168">
        <f t="shared" si="21"/>
        <v>12</v>
      </c>
      <c r="AW50" s="168">
        <f>COUNTIF( AV$7:AV50, AV50 )</f>
        <v>10</v>
      </c>
      <c r="AX50" s="208">
        <f t="shared" si="22"/>
        <v>13</v>
      </c>
      <c r="AY50" s="168">
        <f t="shared" si="23"/>
        <v>21</v>
      </c>
      <c r="AZ50" s="169"/>
      <c r="BA50" s="169"/>
      <c r="BC50" s="168">
        <f t="shared" ca="1" si="24"/>
        <v>44</v>
      </c>
      <c r="BD50" s="209">
        <f t="shared" ca="1" si="7"/>
        <v>12</v>
      </c>
      <c r="BF50" s="173" t="str">
        <f t="shared" ca="1" si="25"/>
        <v>DPL Inc.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**DPL</v>
      </c>
    </row>
    <row r="51" spans="1:61" ht="13.8" x14ac:dyDescent="0.25">
      <c r="A51" s="223" t="s">
        <v>270</v>
      </c>
      <c r="B51" s="224" t="s">
        <v>147</v>
      </c>
      <c r="C51" s="224">
        <v>17</v>
      </c>
      <c r="D51" s="224" t="s">
        <v>271</v>
      </c>
      <c r="E51" s="225" t="str">
        <f t="shared" ca="1" si="0"/>
        <v>MR</v>
      </c>
      <c r="F51" s="347"/>
      <c r="G51" s="348">
        <f t="shared" ca="1" si="1"/>
        <v>23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294</v>
      </c>
      <c r="AR51" s="207" t="s">
        <v>146</v>
      </c>
      <c r="AS51" s="207">
        <v>18</v>
      </c>
      <c r="AT51" s="207" t="s">
        <v>295</v>
      </c>
      <c r="AV51" s="168">
        <f t="shared" si="21"/>
        <v>25</v>
      </c>
      <c r="AW51" s="168">
        <f>COUNTIF( AV$7:AV51, AV51 )</f>
        <v>14</v>
      </c>
      <c r="AX51" s="208">
        <f t="shared" si="22"/>
        <v>26.4</v>
      </c>
      <c r="AY51" s="168">
        <f t="shared" si="23"/>
        <v>38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ht="13.8" x14ac:dyDescent="0.25">
      <c r="A52" s="223" t="s">
        <v>377</v>
      </c>
      <c r="B52" s="224" t="s">
        <v>147</v>
      </c>
      <c r="C52" s="224">
        <v>17</v>
      </c>
      <c r="D52" s="224" t="s">
        <v>378</v>
      </c>
      <c r="E52" s="225" t="str">
        <f t="shared" ca="1" si="0"/>
        <v>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310</v>
      </c>
      <c r="AR52" s="207" t="s">
        <v>178</v>
      </c>
      <c r="AS52" s="207">
        <v>16</v>
      </c>
      <c r="AT52" s="207" t="s">
        <v>311</v>
      </c>
      <c r="AV52" s="168">
        <f t="shared" si="21"/>
        <v>52</v>
      </c>
      <c r="AW52" s="168">
        <f>COUNTIF( AV$7:AV52, AV52 )</f>
        <v>2</v>
      </c>
      <c r="AX52" s="208">
        <f t="shared" si="22"/>
        <v>52.2</v>
      </c>
      <c r="AY52" s="168">
        <f t="shared" si="23"/>
        <v>53</v>
      </c>
      <c r="AZ52" s="169"/>
      <c r="BA52" s="169"/>
      <c r="BC52" s="168">
        <f t="shared" ca="1" si="24"/>
        <v>46</v>
      </c>
      <c r="BD52" s="209">
        <f t="shared" ca="1" si="7"/>
        <v>17</v>
      </c>
      <c r="BF52" s="173" t="str">
        <f t="shared" ca="1" si="25"/>
        <v>Empire District Electric Company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EDE</v>
      </c>
    </row>
    <row r="53" spans="1:61" ht="13.8" x14ac:dyDescent="0.25">
      <c r="A53" s="223" t="s">
        <v>280</v>
      </c>
      <c r="B53" s="224" t="s">
        <v>147</v>
      </c>
      <c r="C53" s="224">
        <v>17</v>
      </c>
      <c r="D53" s="224" t="s">
        <v>281</v>
      </c>
      <c r="E53" s="225" t="str">
        <f t="shared" ca="1" si="0"/>
        <v>MR</v>
      </c>
      <c r="F53" s="347"/>
      <c r="G53" s="348">
        <f t="shared" ca="1" si="1"/>
        <v>28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357</v>
      </c>
      <c r="AR53" s="207" t="s">
        <v>145</v>
      </c>
      <c r="AS53" s="207">
        <v>19</v>
      </c>
      <c r="AT53" s="207" t="s">
        <v>358</v>
      </c>
      <c r="AV53" s="168">
        <f t="shared" si="21"/>
        <v>12</v>
      </c>
      <c r="AW53" s="168">
        <f>COUNTIF( AV$7:AV53, AV53 )</f>
        <v>11</v>
      </c>
      <c r="AX53" s="208">
        <f t="shared" si="22"/>
        <v>13.1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21</v>
      </c>
      <c r="BF53" s="173" t="str">
        <f t="shared" ca="1" si="25"/>
        <v>FirstEnergy Corp.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FE</v>
      </c>
    </row>
    <row r="54" spans="1:61" ht="13.8" x14ac:dyDescent="0.25">
      <c r="A54" s="223" t="s">
        <v>284</v>
      </c>
      <c r="B54" s="224" t="s">
        <v>147</v>
      </c>
      <c r="C54" s="224">
        <v>17</v>
      </c>
      <c r="D54" s="224" t="s">
        <v>285</v>
      </c>
      <c r="E54" s="225" t="str">
        <f t="shared" ca="1" si="0"/>
        <v>D</v>
      </c>
      <c r="F54" s="347"/>
      <c r="G54" s="348">
        <f t="shared" ca="1" si="1"/>
        <v>30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296</v>
      </c>
      <c r="AR54" s="207" t="s">
        <v>145</v>
      </c>
      <c r="AS54" s="207">
        <v>19</v>
      </c>
      <c r="AT54" s="207" t="s">
        <v>297</v>
      </c>
      <c r="AV54" s="168">
        <f t="shared" si="21"/>
        <v>12</v>
      </c>
      <c r="AW54" s="168">
        <f>COUNTIF( AV$7:AV54, AV54 )</f>
        <v>12</v>
      </c>
      <c r="AX54" s="208">
        <f t="shared" si="22"/>
        <v>13.2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23</v>
      </c>
      <c r="BF54" s="173" t="str">
        <f t="shared" ca="1" si="25"/>
        <v>Hawaiian Electric Industries,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HE</v>
      </c>
    </row>
    <row r="55" spans="1:61" ht="13.8" x14ac:dyDescent="0.25">
      <c r="A55" s="223" t="s">
        <v>292</v>
      </c>
      <c r="B55" s="224" t="s">
        <v>147</v>
      </c>
      <c r="C55" s="224">
        <v>17</v>
      </c>
      <c r="D55" s="224" t="s">
        <v>293</v>
      </c>
      <c r="E55" s="225" t="str">
        <f t="shared" ca="1" si="0"/>
        <v>R</v>
      </c>
      <c r="F55" s="347"/>
      <c r="G55" s="348">
        <f t="shared" ca="1" si="1"/>
        <v>66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298</v>
      </c>
      <c r="AR55" s="207" t="s">
        <v>171</v>
      </c>
      <c r="AS55" s="207">
        <v>21</v>
      </c>
      <c r="AT55" s="207" t="s">
        <v>299</v>
      </c>
      <c r="AV55" s="168">
        <f t="shared" si="21"/>
        <v>2</v>
      </c>
      <c r="AW55" s="168">
        <f>COUNTIF( AV$7:AV55, AV55 )</f>
        <v>1</v>
      </c>
      <c r="AX55" s="208">
        <f t="shared" si="22"/>
        <v>2.1</v>
      </c>
      <c r="AY55" s="168">
        <f t="shared" si="23"/>
        <v>2</v>
      </c>
      <c r="AZ55" s="169"/>
      <c r="BA55" s="169"/>
      <c r="BC55" s="168">
        <f t="shared" ca="1" si="24"/>
        <v>49</v>
      </c>
      <c r="BD55" s="209">
        <f t="shared" ca="1" si="7"/>
        <v>27</v>
      </c>
      <c r="BF55" s="173" t="str">
        <f t="shared" ca="1" si="25"/>
        <v>IPALCO Enterprises,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**IPALCO</v>
      </c>
    </row>
    <row r="56" spans="1:61" ht="13.8" x14ac:dyDescent="0.25">
      <c r="A56" s="223" t="s">
        <v>278</v>
      </c>
      <c r="B56" s="224" t="s">
        <v>147</v>
      </c>
      <c r="C56" s="224">
        <v>17</v>
      </c>
      <c r="D56" s="224" t="s">
        <v>279</v>
      </c>
      <c r="E56" s="225" t="str">
        <f t="shared" ca="1" si="0"/>
        <v>MR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379</v>
      </c>
      <c r="AR56" s="207" t="s">
        <v>145</v>
      </c>
      <c r="AS56" s="207">
        <v>19</v>
      </c>
      <c r="AT56" s="207" t="s">
        <v>385</v>
      </c>
      <c r="AV56" s="168">
        <f t="shared" si="21"/>
        <v>12</v>
      </c>
      <c r="AW56" s="168">
        <f>COUNTIF( AV$7:AV56, AV56 )</f>
        <v>13</v>
      </c>
      <c r="AX56" s="208">
        <f t="shared" si="22"/>
        <v>13.3</v>
      </c>
      <c r="AY56" s="168">
        <f t="shared" si="23"/>
        <v>24</v>
      </c>
      <c r="AZ56" s="169"/>
      <c r="BA56" s="169"/>
      <c r="BC56" s="168">
        <f t="shared" ca="1" si="24"/>
        <v>50</v>
      </c>
      <c r="BD56" s="209">
        <f t="shared" ca="1" si="7"/>
        <v>31</v>
      </c>
      <c r="BF56" s="173" t="str">
        <f t="shared" ca="1" si="25"/>
        <v>NiSource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NI</v>
      </c>
    </row>
    <row r="57" spans="1:61" ht="13.8" x14ac:dyDescent="0.25">
      <c r="A57" s="223" t="s">
        <v>304</v>
      </c>
      <c r="B57" s="224" t="s">
        <v>147</v>
      </c>
      <c r="C57" s="224">
        <v>17</v>
      </c>
      <c r="D57" s="224" t="s">
        <v>305</v>
      </c>
      <c r="E57" s="225" t="str">
        <f t="shared" ca="1" si="0"/>
        <v>MR</v>
      </c>
      <c r="F57" s="347"/>
      <c r="G57" s="348">
        <f t="shared" ca="1" si="1"/>
        <v>42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BBB-</v>
      </c>
      <c r="AL57" s="169">
        <f t="shared" ca="1" si="20"/>
        <v>17</v>
      </c>
      <c r="AM57" s="169" t="str">
        <f t="shared" ca="1" si="5"/>
        <v/>
      </c>
      <c r="AQ57" s="207" t="s">
        <v>399</v>
      </c>
      <c r="AR57" s="207" t="s">
        <v>146</v>
      </c>
      <c r="AS57" s="207">
        <v>18</v>
      </c>
      <c r="AT57" s="207" t="s">
        <v>400</v>
      </c>
      <c r="AV57" s="168">
        <f t="shared" si="21"/>
        <v>25</v>
      </c>
      <c r="AW57" s="168">
        <f>COUNTIF( AV$7:AV57, AV57 )</f>
        <v>15</v>
      </c>
      <c r="AX57" s="208">
        <f t="shared" si="22"/>
        <v>26.5</v>
      </c>
      <c r="AY57" s="168">
        <f t="shared" si="23"/>
        <v>39</v>
      </c>
      <c r="AZ57" s="169"/>
      <c r="BA57" s="169"/>
      <c r="BC57" s="168">
        <f t="shared" ca="1" si="24"/>
        <v>51</v>
      </c>
      <c r="BD57" s="209">
        <f t="shared" ca="1" si="7"/>
        <v>37</v>
      </c>
      <c r="BF57" s="173" t="str">
        <f t="shared" ca="1" si="25"/>
        <v>Otter Tail Corporation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OTTR</v>
      </c>
    </row>
    <row r="58" spans="1:61" ht="13.8" x14ac:dyDescent="0.25">
      <c r="A58" s="223" t="s">
        <v>421</v>
      </c>
      <c r="B58" s="224" t="s">
        <v>178</v>
      </c>
      <c r="C58" s="224">
        <v>16</v>
      </c>
      <c r="D58" s="224" t="s">
        <v>422</v>
      </c>
      <c r="E58" s="225" t="str">
        <f t="shared" ca="1" si="0"/>
        <v>R</v>
      </c>
      <c r="F58" s="347"/>
      <c r="G58" s="348">
        <f t="shared" ca="1" si="1"/>
        <v>40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355</v>
      </c>
      <c r="AR58" s="207" t="s">
        <v>144</v>
      </c>
      <c r="AS58" s="207">
        <v>20</v>
      </c>
      <c r="AT58" s="207" t="s">
        <v>356</v>
      </c>
      <c r="AV58" s="168">
        <f t="shared" si="21"/>
        <v>3</v>
      </c>
      <c r="AW58" s="168">
        <f>COUNTIF( AV$7:AV58, AV58 )</f>
        <v>7</v>
      </c>
      <c r="AX58" s="208">
        <f t="shared" si="22"/>
        <v>3.7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35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ht="13.8" x14ac:dyDescent="0.25">
      <c r="A59" s="223" t="s">
        <v>310</v>
      </c>
      <c r="B59" s="224" t="s">
        <v>178</v>
      </c>
      <c r="C59" s="224">
        <v>16</v>
      </c>
      <c r="D59" s="224" t="s">
        <v>311</v>
      </c>
      <c r="E59" s="225" t="str">
        <f t="shared" ca="1" si="0"/>
        <v>R</v>
      </c>
      <c r="F59" s="347"/>
      <c r="G59" s="348">
        <f t="shared" ca="1" si="1"/>
        <v>68</v>
      </c>
      <c r="H59" s="349"/>
      <c r="I59" s="349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364</v>
      </c>
      <c r="AR59" s="207" t="s">
        <v>146</v>
      </c>
      <c r="AS59" s="207">
        <v>18</v>
      </c>
      <c r="AT59" s="207" t="s">
        <v>365</v>
      </c>
      <c r="AV59" s="168">
        <f t="shared" si="21"/>
        <v>25</v>
      </c>
      <c r="AW59" s="168">
        <f>COUNTIF( AV$7:AV59, AV59 )</f>
        <v>16</v>
      </c>
      <c r="AX59" s="208">
        <f t="shared" si="22"/>
        <v>26.6</v>
      </c>
      <c r="AY59" s="168">
        <f t="shared" si="23"/>
        <v>40</v>
      </c>
      <c r="AZ59" s="169"/>
      <c r="BA59" s="169"/>
      <c r="BC59" s="168">
        <f t="shared" ca="1" si="24"/>
        <v>53</v>
      </c>
      <c r="BD59" s="209">
        <f t="shared" ca="1" si="7"/>
        <v>46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ht="13.8" x14ac:dyDescent="0.25">
      <c r="A60" s="180" t="s">
        <v>308</v>
      </c>
      <c r="B60" s="181" t="s">
        <v>180</v>
      </c>
      <c r="C60" s="181">
        <v>15</v>
      </c>
      <c r="D60" s="181" t="s">
        <v>309</v>
      </c>
      <c r="E60" s="225" t="str">
        <f t="shared" ca="1" si="0"/>
        <v>R</v>
      </c>
      <c r="F60" s="349"/>
      <c r="G60" s="352">
        <f t="shared" ca="1" si="1"/>
        <v>46</v>
      </c>
      <c r="H60" s="349"/>
      <c r="I60" s="349"/>
      <c r="AF60" s="169">
        <f t="shared" si="2"/>
        <v>0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BB</v>
      </c>
      <c r="AL60" s="169">
        <f t="shared" ca="1" si="20"/>
        <v>15</v>
      </c>
      <c r="AM60" s="169" t="str">
        <f t="shared" ca="1" si="5"/>
        <v/>
      </c>
      <c r="AQ60" s="207" t="s">
        <v>252</v>
      </c>
      <c r="AR60" s="207" t="s">
        <v>144</v>
      </c>
      <c r="AS60" s="207">
        <v>20</v>
      </c>
      <c r="AT60" s="207" t="s">
        <v>253</v>
      </c>
      <c r="AV60" s="168">
        <f t="shared" si="21"/>
        <v>3</v>
      </c>
      <c r="AW60" s="168">
        <f>COUNTIF( AV$7:AV60, AV60 )</f>
        <v>8</v>
      </c>
      <c r="AX60" s="208">
        <f t="shared" si="22"/>
        <v>3.8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41</v>
      </c>
      <c r="BF60" s="173" t="str">
        <f t="shared" ca="1" si="25"/>
        <v>PNM Resources, Inc.</v>
      </c>
      <c r="BG60" s="173" t="str">
        <f t="shared" ca="1" si="9"/>
        <v>BB</v>
      </c>
      <c r="BH60" s="173">
        <f t="shared" ca="1" si="9"/>
        <v>15</v>
      </c>
      <c r="BI60" s="173" t="str">
        <f t="shared" ca="1" si="9"/>
        <v>PNM</v>
      </c>
    </row>
    <row r="61" spans="1:61" ht="13.8" x14ac:dyDescent="0.25">
      <c r="A61" s="180" t="s">
        <v>381</v>
      </c>
      <c r="B61" s="181" t="s">
        <v>192</v>
      </c>
      <c r="C61" s="181">
        <v>9</v>
      </c>
      <c r="D61" s="181" t="s">
        <v>369</v>
      </c>
      <c r="E61" s="225" t="str">
        <f t="shared" ca="1" si="0"/>
        <v>D</v>
      </c>
      <c r="F61" s="349"/>
      <c r="G61" s="352">
        <f t="shared" ca="1" si="1"/>
        <v>64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4"/>
        <v>62</v>
      </c>
      <c r="AK61" s="169" t="str">
        <f t="shared" ca="1" si="20"/>
        <v>CCC</v>
      </c>
      <c r="AL61" s="169">
        <f t="shared" ca="1" si="20"/>
        <v>9</v>
      </c>
      <c r="AM61" s="169" t="str">
        <f t="shared" ca="1" si="5"/>
        <v/>
      </c>
      <c r="AQ61" s="207" t="s">
        <v>256</v>
      </c>
      <c r="AR61" s="207" t="s">
        <v>144</v>
      </c>
      <c r="AS61" s="207">
        <v>20</v>
      </c>
      <c r="AT61" s="207" t="s">
        <v>257</v>
      </c>
      <c r="AV61" s="168">
        <f t="shared" si="21"/>
        <v>3</v>
      </c>
      <c r="AW61" s="168">
        <f>COUNTIF( AV$7:AV61, AV61 )</f>
        <v>9</v>
      </c>
      <c r="AX61" s="208">
        <f t="shared" si="22"/>
        <v>3.9</v>
      </c>
      <c r="AY61" s="168">
        <f t="shared" si="23"/>
        <v>11</v>
      </c>
      <c r="AZ61" s="169"/>
      <c r="BA61" s="169"/>
      <c r="BC61" s="168">
        <f t="shared" ca="1" si="24"/>
        <v>55</v>
      </c>
      <c r="BD61" s="209">
        <f t="shared" ca="1" si="7"/>
        <v>18</v>
      </c>
      <c r="BF61" s="173" t="str">
        <f t="shared" ca="1" si="25"/>
        <v>Energy Future Holdings Corp.</v>
      </c>
      <c r="BG61" s="173" t="str">
        <f t="shared" ca="1" si="9"/>
        <v>CCC</v>
      </c>
      <c r="BH61" s="173">
        <f t="shared" ca="1" si="9"/>
        <v>9</v>
      </c>
      <c r="BI61" s="173" t="str">
        <f t="shared" ca="1" si="9"/>
        <v>**EFH</v>
      </c>
    </row>
    <row r="62" spans="1:61" ht="14.4" thickBot="1" x14ac:dyDescent="0.3">
      <c r="A62" s="192"/>
      <c r="B62" s="193"/>
      <c r="C62" s="193"/>
      <c r="D62" s="193"/>
      <c r="E62" s="194"/>
      <c r="F62" s="349"/>
      <c r="G62" s="352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9"/>
        <v/>
      </c>
      <c r="AJ62" s="169" t="e">
        <f t="shared" ca="1" si="4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</v>
      </c>
      <c r="AX62" s="208">
        <f t="shared" si="22"/>
        <v>99.1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6" t="s">
        <v>394</v>
      </c>
      <c r="B63" s="227" t="s">
        <v>167</v>
      </c>
      <c r="C63" s="227">
        <v>23</v>
      </c>
      <c r="D63" s="227" t="s">
        <v>314</v>
      </c>
      <c r="E63" s="228" t="str">
        <f ca="1">OFFSET( INDIRECT( E$3 &amp; E$4 ), $G63 - 1, 0 )</f>
        <v>MR</v>
      </c>
      <c r="F63" s="353"/>
      <c r="G63" s="354">
        <f t="shared" ca="1" si="1"/>
        <v>34</v>
      </c>
      <c r="H63" s="349"/>
      <c r="I63" s="349"/>
      <c r="AF63" s="169">
        <f t="shared" si="2"/>
        <v>1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AA-</v>
      </c>
      <c r="AL63" s="169">
        <f t="shared" ca="1" si="20"/>
        <v>23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2</v>
      </c>
      <c r="AX63" s="208">
        <f t="shared" si="22"/>
        <v>99.2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" ca="1" si="26">OFFSET( AR$6, $BD63, 0 )</f>
        <v>0</v>
      </c>
      <c r="BH63" s="173">
        <f t="shared" ref="BH63" ca="1" si="27">OFFSET( AS$6, $BD63, 0 )</f>
        <v>0</v>
      </c>
      <c r="BI63" s="173">
        <f t="shared" ref="BI63" ca="1" si="28">OFFSET( AT$6, $BD63, 0 )</f>
        <v>0</v>
      </c>
    </row>
    <row r="64" spans="1:61" ht="13.8" x14ac:dyDescent="0.25">
      <c r="A64" s="223" t="s">
        <v>426</v>
      </c>
      <c r="B64" s="224" t="s">
        <v>171</v>
      </c>
      <c r="C64" s="224">
        <v>21</v>
      </c>
      <c r="D64" s="224" t="s">
        <v>427</v>
      </c>
      <c r="E64" s="225" t="str">
        <f ca="1">OFFSET( INDIRECT( E$3 &amp; E$4 ), $G64 - 1, 0 )</f>
        <v>R</v>
      </c>
      <c r="F64" s="347"/>
      <c r="G64" s="348">
        <f t="shared" ca="1" si="1"/>
        <v>15</v>
      </c>
      <c r="H64" s="349"/>
      <c r="I64" s="349"/>
      <c r="AF64" s="169">
        <f t="shared" si="2"/>
        <v>0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A</v>
      </c>
      <c r="AL64" s="169">
        <f t="shared" ca="1" si="20"/>
        <v>21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 t="s">
        <v>409</v>
      </c>
      <c r="B65" s="224" t="s">
        <v>178</v>
      </c>
      <c r="C65" s="224">
        <v>16</v>
      </c>
      <c r="D65" s="224" t="s">
        <v>410</v>
      </c>
      <c r="E65" s="225" t="str">
        <f ca="1">OFFSET( INDIRECT( E$3 &amp; E$4 ), $G65 - 1, 0 )</f>
        <v>R</v>
      </c>
      <c r="F65" s="347"/>
      <c r="G65" s="348">
        <f t="shared" ca="1" si="1"/>
        <v>57</v>
      </c>
      <c r="H65" s="349"/>
      <c r="I65" s="349"/>
      <c r="N65" s="168" t="s">
        <v>315</v>
      </c>
      <c r="AF65" s="169">
        <f t="shared" si="2"/>
        <v>1</v>
      </c>
      <c r="AG65" s="169" t="str">
        <f ca="1">IF( LEN( $C65 ) = 0, "", IF( $C65 &gt; $AL65, 1, "" ) )</f>
        <v/>
      </c>
      <c r="AH65" s="169" t="str">
        <f t="shared" ca="1" si="19"/>
        <v/>
      </c>
      <c r="AJ65" s="169">
        <f t="shared" ca="1" si="4"/>
        <v>65</v>
      </c>
      <c r="AK65" s="169" t="str">
        <f t="shared" ca="1" si="20"/>
        <v>BB+</v>
      </c>
      <c r="AL65" s="169">
        <f t="shared" ca="1" si="20"/>
        <v>16</v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223" t="s">
        <v>411</v>
      </c>
      <c r="B66" s="229"/>
      <c r="C66" s="224"/>
      <c r="D66" s="224" t="s">
        <v>386</v>
      </c>
      <c r="E66" s="225" t="str">
        <f ca="1">OFFSET( INDIRECT( E$3 &amp; E$4 ), $G66 - 1, 0 )</f>
        <v>R</v>
      </c>
      <c r="F66" s="347"/>
      <c r="G66" s="348">
        <f t="shared" ca="1" si="1"/>
        <v>56</v>
      </c>
      <c r="H66" s="349"/>
      <c r="I66" s="349"/>
      <c r="AF66" s="169">
        <f t="shared" si="2"/>
        <v>0</v>
      </c>
      <c r="AG66" s="169" t="str">
        <f t="shared" ref="AG66:AG67" si="29">IF( LEN( $C66 ) = 0, "", IF( $C66 &gt; $AL66, 1, "" ) )</f>
        <v/>
      </c>
      <c r="AH66" s="169" t="str">
        <f t="shared" si="19"/>
        <v/>
      </c>
      <c r="AJ66" s="169">
        <f t="shared" ca="1" si="4"/>
        <v>67</v>
      </c>
      <c r="AK66" s="169" t="str">
        <f t="shared" ca="1" si="20"/>
        <v>N.A.</v>
      </c>
      <c r="AL66" s="169">
        <f t="shared" ca="1" si="20"/>
        <v>0</v>
      </c>
      <c r="AM66" s="169" t="str">
        <f t="shared" ca="1" si="5"/>
        <v>Change</v>
      </c>
      <c r="AQ66" s="207" t="s">
        <v>426</v>
      </c>
      <c r="AR66" s="207" t="s">
        <v>171</v>
      </c>
      <c r="AS66" s="207">
        <v>21</v>
      </c>
      <c r="AT66" s="207" t="s">
        <v>427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9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394</v>
      </c>
      <c r="AR67" s="207" t="s">
        <v>167</v>
      </c>
      <c r="AS67" s="207">
        <v>23</v>
      </c>
      <c r="AT67" s="207" t="s">
        <v>314</v>
      </c>
      <c r="AX67" s="208"/>
      <c r="AZ67" s="169"/>
      <c r="BA67" s="169"/>
      <c r="BD67" s="209"/>
      <c r="BF67" s="169"/>
    </row>
    <row r="68" spans="1:58" ht="13.8" x14ac:dyDescent="0.25">
      <c r="A68" s="200" t="s">
        <v>316</v>
      </c>
      <c r="B68" s="189" t="s">
        <v>146</v>
      </c>
      <c r="C68" s="201">
        <f>AVERAGE(C7:C65)</f>
        <v>18.293103448275861</v>
      </c>
      <c r="D68" s="201"/>
      <c r="E68" s="201"/>
      <c r="F68" s="349"/>
      <c r="H68" s="349"/>
      <c r="I68" s="349"/>
      <c r="J68" s="350"/>
      <c r="K68" s="350"/>
      <c r="AQ68" s="207" t="s">
        <v>409</v>
      </c>
      <c r="AR68" s="207" t="s">
        <v>178</v>
      </c>
      <c r="AS68" s="207">
        <v>16</v>
      </c>
      <c r="AT68" s="207" t="s">
        <v>410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49"/>
      <c r="H69" s="349"/>
      <c r="I69" s="349"/>
      <c r="AQ69" s="207" t="s">
        <v>300</v>
      </c>
      <c r="AR69" s="207" t="s">
        <v>433</v>
      </c>
      <c r="AS69" s="207"/>
      <c r="AT69" s="207" t="s">
        <v>301</v>
      </c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0"/>
      <c r="K70" s="350"/>
      <c r="AQ70" s="207" t="s">
        <v>434</v>
      </c>
      <c r="AR70" s="207" t="s">
        <v>433</v>
      </c>
      <c r="AS70" s="207"/>
      <c r="AT70" s="207" t="s">
        <v>435</v>
      </c>
    </row>
    <row r="71" spans="1:58" x14ac:dyDescent="0.25">
      <c r="A71" s="203" t="s">
        <v>317</v>
      </c>
      <c r="F71" s="173"/>
      <c r="H71" s="173"/>
      <c r="I71" s="173"/>
    </row>
    <row r="72" spans="1:58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429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319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413</v>
      </c>
      <c r="D75" s="204"/>
      <c r="F75" s="206"/>
      <c r="H75" s="206"/>
      <c r="I75" s="206"/>
    </row>
    <row r="76" spans="1:58" x14ac:dyDescent="0.25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18.379310344827587</v>
      </c>
      <c r="E79" s="191"/>
      <c r="G79" s="352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AG84"/>
  <sheetViews>
    <sheetView zoomScale="80" zoomScaleNormal="80" workbookViewId="0">
      <selection activeCell="A7" sqref="A7"/>
    </sheetView>
  </sheetViews>
  <sheetFormatPr defaultColWidth="9.109375" defaultRowHeight="13.2" outlineLevelCol="1" x14ac:dyDescent="0.25"/>
  <cols>
    <col min="1" max="1" width="35.109375" customWidth="1"/>
    <col min="4" max="4" width="9.109375" customWidth="1" outlineLevel="1"/>
    <col min="5" max="5" width="12.5546875" customWidth="1" outlineLevel="1"/>
    <col min="7" max="7" width="11.5546875" customWidth="1"/>
    <col min="11" max="11" width="11" bestFit="1" customWidth="1"/>
    <col min="12" max="12" width="4.88671875" bestFit="1" customWidth="1"/>
    <col min="17" max="26" width="9.109375" customWidth="1" outlineLevel="1"/>
    <col min="27" max="27" width="12.5546875" style="66" customWidth="1" outlineLevel="1"/>
    <col min="28" max="33" width="9.109375" customWidth="1" outlineLevel="1"/>
  </cols>
  <sheetData>
    <row r="1" spans="1:33" ht="18" x14ac:dyDescent="0.35">
      <c r="A1" s="40" t="s">
        <v>443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444</v>
      </c>
      <c r="AA5" s="65" t="s">
        <v>444</v>
      </c>
      <c r="AF5" s="82" t="s">
        <v>445</v>
      </c>
      <c r="AG5" s="81"/>
    </row>
    <row r="6" spans="1:33" ht="13.8" x14ac:dyDescent="0.3">
      <c r="A6" s="101" t="s">
        <v>217</v>
      </c>
      <c r="B6" s="102" t="s">
        <v>446</v>
      </c>
      <c r="C6" s="103"/>
      <c r="D6" s="103"/>
      <c r="E6" s="104">
        <v>40543</v>
      </c>
      <c r="W6" s="101" t="s">
        <v>217</v>
      </c>
      <c r="X6" s="102" t="s">
        <v>446</v>
      </c>
      <c r="Y6" s="103"/>
      <c r="Z6" s="103"/>
      <c r="AA6" s="104">
        <v>40543</v>
      </c>
      <c r="AC6" s="67" t="s">
        <v>141</v>
      </c>
      <c r="AD6" s="68"/>
      <c r="AE6" s="68"/>
      <c r="AF6" s="42">
        <f>AVERAGE(Y$13:Y$51)</f>
        <v>14.351351351351351</v>
      </c>
      <c r="AG6" s="79"/>
    </row>
    <row r="7" spans="1:33" ht="14.4" thickBot="1" x14ac:dyDescent="0.35">
      <c r="A7" s="45" t="s">
        <v>441</v>
      </c>
      <c r="B7" s="46" t="s">
        <v>169</v>
      </c>
      <c r="C7" s="46">
        <v>22</v>
      </c>
      <c r="D7" s="46" t="s">
        <v>442</v>
      </c>
      <c r="E7" s="61">
        <f>VLOOKUP($D7,$Q$7:$R$68,2,0)</f>
        <v>1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0.84669359982989578</v>
      </c>
      <c r="S7" s="93" t="s">
        <v>208</v>
      </c>
      <c r="W7" s="113" t="s">
        <v>447</v>
      </c>
      <c r="X7" s="114" t="s">
        <v>144</v>
      </c>
      <c r="Y7" s="114">
        <v>16</v>
      </c>
      <c r="Z7" s="114" t="s">
        <v>448</v>
      </c>
      <c r="AA7" s="115" t="s">
        <v>433</v>
      </c>
      <c r="AC7" s="57" t="s">
        <v>215</v>
      </c>
      <c r="AD7" s="57" t="s">
        <v>139</v>
      </c>
      <c r="AE7" s="57" t="s">
        <v>140</v>
      </c>
      <c r="AG7" s="80"/>
    </row>
    <row r="8" spans="1:33" ht="13.8" x14ac:dyDescent="0.3">
      <c r="A8" s="37" t="s">
        <v>298</v>
      </c>
      <c r="B8" s="44" t="s">
        <v>171</v>
      </c>
      <c r="C8" s="44">
        <v>21</v>
      </c>
      <c r="D8" s="44" t="s">
        <v>299</v>
      </c>
      <c r="E8" s="60">
        <f t="shared" ref="E8:E13" si="0">VLOOKUP($D8,$Q$7:$R$68,2,0)</f>
        <v>0.92936836749527552</v>
      </c>
      <c r="F8" s="355"/>
      <c r="G8" s="37" t="s">
        <v>142</v>
      </c>
      <c r="H8" s="49">
        <f>COUNTIF(C$7:C$67,"&gt;20")</f>
        <v>4</v>
      </c>
      <c r="I8" s="50">
        <f>H8/H$14</f>
        <v>6.7796610169491525E-2</v>
      </c>
      <c r="K8" s="122"/>
      <c r="M8" s="122"/>
      <c r="N8" s="122"/>
      <c r="O8" s="122"/>
      <c r="Q8" s="93" t="s">
        <v>228</v>
      </c>
      <c r="R8" s="94">
        <v>0.96680210088197405</v>
      </c>
      <c r="S8" s="93" t="s">
        <v>208</v>
      </c>
      <c r="W8" s="37" t="s">
        <v>449</v>
      </c>
      <c r="X8" s="44" t="s">
        <v>144</v>
      </c>
      <c r="Y8" s="44">
        <v>16</v>
      </c>
      <c r="Z8" s="44" t="s">
        <v>450</v>
      </c>
      <c r="AA8" s="69" t="s">
        <v>433</v>
      </c>
      <c r="AC8" s="37" t="s">
        <v>142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8" x14ac:dyDescent="0.3">
      <c r="A9" s="45" t="s">
        <v>232</v>
      </c>
      <c r="B9" s="46" t="s">
        <v>144</v>
      </c>
      <c r="C9" s="46">
        <v>20</v>
      </c>
      <c r="D9" s="46" t="s">
        <v>233</v>
      </c>
      <c r="E9" s="61">
        <f t="shared" si="0"/>
        <v>0.89318320146074259</v>
      </c>
      <c r="F9" s="355"/>
      <c r="G9" s="37" t="s">
        <v>144</v>
      </c>
      <c r="H9" s="49">
        <f>COUNTIF(C$7:C$67,"=20")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451</v>
      </c>
      <c r="R9" s="94">
        <v>1</v>
      </c>
      <c r="S9" s="93" t="s">
        <v>208</v>
      </c>
      <c r="W9" s="37" t="s">
        <v>452</v>
      </c>
      <c r="X9" s="44" t="s">
        <v>145</v>
      </c>
      <c r="Y9" s="44">
        <v>15</v>
      </c>
      <c r="Z9" s="44" t="s">
        <v>453</v>
      </c>
      <c r="AA9" s="69" t="s">
        <v>433</v>
      </c>
      <c r="AC9" s="37" t="s">
        <v>144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ht="13.8" x14ac:dyDescent="0.3">
      <c r="A10" s="45" t="s">
        <v>371</v>
      </c>
      <c r="B10" s="46" t="s">
        <v>144</v>
      </c>
      <c r="C10" s="46">
        <v>20</v>
      </c>
      <c r="D10" s="46" t="s">
        <v>199</v>
      </c>
      <c r="E10" s="61">
        <f t="shared" si="0"/>
        <v>0.63157463237392464</v>
      </c>
      <c r="F10" s="355"/>
      <c r="G10" s="37" t="s">
        <v>145</v>
      </c>
      <c r="H10" s="49">
        <f>COUNTIF(C$7:C$67,"=19")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223</v>
      </c>
      <c r="R10" s="94">
        <v>0.91042888352305396</v>
      </c>
      <c r="S10" s="93" t="s">
        <v>208</v>
      </c>
      <c r="W10" s="37" t="s">
        <v>454</v>
      </c>
      <c r="X10" s="44" t="s">
        <v>145</v>
      </c>
      <c r="Y10" s="44">
        <v>15</v>
      </c>
      <c r="Z10" s="44" t="s">
        <v>455</v>
      </c>
      <c r="AA10" s="69" t="s">
        <v>433</v>
      </c>
      <c r="AC10" s="37" t="s">
        <v>145</v>
      </c>
      <c r="AD10" s="49">
        <f>COUNTIF(Y$13:Y$51,"=15")</f>
        <v>7</v>
      </c>
      <c r="AE10" s="50">
        <f t="shared" si="2"/>
        <v>0.1891891891891892</v>
      </c>
      <c r="AG10" s="80"/>
    </row>
    <row r="11" spans="1:33" ht="13.8" x14ac:dyDescent="0.3">
      <c r="A11" s="45" t="s">
        <v>268</v>
      </c>
      <c r="B11" s="46" t="s">
        <v>144</v>
      </c>
      <c r="C11" s="46">
        <v>20</v>
      </c>
      <c r="D11" s="46" t="s">
        <v>269</v>
      </c>
      <c r="E11" s="61">
        <f t="shared" si="0"/>
        <v>0.76510407852428497</v>
      </c>
      <c r="F11" s="355"/>
      <c r="G11" s="37" t="s">
        <v>146</v>
      </c>
      <c r="H11" s="49">
        <f>COUNTIF(C$7:C$67,"=18")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244</v>
      </c>
      <c r="R11" s="94">
        <v>0.91095138568993894</v>
      </c>
      <c r="S11" s="93" t="s">
        <v>208</v>
      </c>
      <c r="W11" s="37" t="s">
        <v>456</v>
      </c>
      <c r="X11" s="44" t="s">
        <v>146</v>
      </c>
      <c r="Y11" s="44">
        <v>14</v>
      </c>
      <c r="Z11" s="44" t="s">
        <v>457</v>
      </c>
      <c r="AA11" s="69" t="s">
        <v>433</v>
      </c>
      <c r="AC11" s="37" t="s">
        <v>146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ht="13.8" x14ac:dyDescent="0.3">
      <c r="A12" s="45" t="s">
        <v>397</v>
      </c>
      <c r="B12" s="46" t="s">
        <v>144</v>
      </c>
      <c r="C12" s="46">
        <v>20</v>
      </c>
      <c r="D12" s="46" t="s">
        <v>398</v>
      </c>
      <c r="E12" s="61">
        <f t="shared" si="0"/>
        <v>0.96341849943457658</v>
      </c>
      <c r="F12" s="355"/>
      <c r="G12" s="37" t="s">
        <v>147</v>
      </c>
      <c r="H12" s="49">
        <f>COUNTIF(C$7:C$67,"=17")</f>
        <v>12</v>
      </c>
      <c r="I12" s="50">
        <f t="shared" si="1"/>
        <v>0.20338983050847459</v>
      </c>
      <c r="Q12" s="93" t="s">
        <v>458</v>
      </c>
      <c r="R12" s="94">
        <v>0.62875460562079877</v>
      </c>
      <c r="S12" s="93" t="s">
        <v>209</v>
      </c>
      <c r="W12" s="37" t="s">
        <v>459</v>
      </c>
      <c r="X12" s="44" t="s">
        <v>147</v>
      </c>
      <c r="Y12" s="44">
        <v>13</v>
      </c>
      <c r="Z12" s="44" t="s">
        <v>460</v>
      </c>
      <c r="AA12" s="69" t="s">
        <v>433</v>
      </c>
      <c r="AC12" s="37" t="s">
        <v>147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4.4" thickBot="1" x14ac:dyDescent="0.35">
      <c r="A13" s="45" t="s">
        <v>245</v>
      </c>
      <c r="B13" s="46" t="s">
        <v>144</v>
      </c>
      <c r="C13" s="46">
        <v>20</v>
      </c>
      <c r="D13" s="46" t="s">
        <v>246</v>
      </c>
      <c r="E13" s="61">
        <f t="shared" si="0"/>
        <v>0.541533003736272</v>
      </c>
      <c r="F13" s="355"/>
      <c r="G13" s="53" t="s">
        <v>148</v>
      </c>
      <c r="H13" s="55">
        <f>COUNTIF(C$7:C$67,"&lt;17")</f>
        <v>5</v>
      </c>
      <c r="I13" s="56">
        <f t="shared" si="1"/>
        <v>8.4745762711864403E-2</v>
      </c>
      <c r="Q13" s="93" t="s">
        <v>251</v>
      </c>
      <c r="R13" s="94">
        <v>0.68875112521618576</v>
      </c>
      <c r="S13" s="93" t="s">
        <v>209</v>
      </c>
      <c r="W13" s="37" t="s">
        <v>362</v>
      </c>
      <c r="X13" s="44" t="s">
        <v>146</v>
      </c>
      <c r="Y13" s="44">
        <v>14</v>
      </c>
      <c r="Z13" s="44" t="s">
        <v>363</v>
      </c>
      <c r="AA13" s="69">
        <v>1.0379329114785329</v>
      </c>
      <c r="AC13" s="53" t="s">
        <v>148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8" x14ac:dyDescent="0.3">
      <c r="A14" s="45" t="s">
        <v>355</v>
      </c>
      <c r="B14" s="46" t="s">
        <v>144</v>
      </c>
      <c r="C14" s="46">
        <v>20</v>
      </c>
      <c r="D14" s="46" t="s">
        <v>356</v>
      </c>
      <c r="E14" s="61">
        <f t="shared" ref="E14:E45" si="3">VLOOKUP($D14,$Q$7:$R$68,2,0)</f>
        <v>0.975461842272901</v>
      </c>
      <c r="F14" s="355"/>
      <c r="G14" s="41" t="s">
        <v>149</v>
      </c>
      <c r="H14" s="51">
        <f>SUM(H8:H13)</f>
        <v>59</v>
      </c>
      <c r="I14" s="52">
        <f t="shared" si="1"/>
        <v>1</v>
      </c>
      <c r="Q14" s="93" t="s">
        <v>461</v>
      </c>
      <c r="R14" s="94">
        <v>0.76017780502759058</v>
      </c>
      <c r="S14" s="93" t="s">
        <v>209</v>
      </c>
      <c r="W14" s="37" t="s">
        <v>377</v>
      </c>
      <c r="X14" s="44" t="s">
        <v>147</v>
      </c>
      <c r="Y14" s="44">
        <v>13</v>
      </c>
      <c r="Z14" s="44" t="s">
        <v>378</v>
      </c>
      <c r="AA14" s="69">
        <v>1.0292149475019923</v>
      </c>
      <c r="AC14" s="41" t="s">
        <v>149</v>
      </c>
      <c r="AD14" s="51">
        <f>SUM(AD8:AD13)</f>
        <v>37</v>
      </c>
      <c r="AE14" s="52">
        <f t="shared" si="2"/>
        <v>1</v>
      </c>
      <c r="AG14" s="80"/>
    </row>
    <row r="15" spans="1:33" ht="13.8" x14ac:dyDescent="0.3">
      <c r="A15" s="45" t="s">
        <v>252</v>
      </c>
      <c r="B15" s="46" t="s">
        <v>144</v>
      </c>
      <c r="C15" s="46">
        <v>20</v>
      </c>
      <c r="D15" s="46" t="s">
        <v>253</v>
      </c>
      <c r="E15" s="61">
        <f t="shared" si="3"/>
        <v>0.91865112788863534</v>
      </c>
      <c r="F15" s="355"/>
      <c r="K15" s="5"/>
      <c r="Q15" s="93" t="s">
        <v>462</v>
      </c>
      <c r="R15" s="94">
        <v>0.33305692234682915</v>
      </c>
      <c r="S15" s="93" t="s">
        <v>199</v>
      </c>
      <c r="W15" s="37" t="s">
        <v>441</v>
      </c>
      <c r="X15" s="44" t="s">
        <v>169</v>
      </c>
      <c r="Y15" s="44">
        <v>18</v>
      </c>
      <c r="Z15" s="44" t="s">
        <v>442</v>
      </c>
      <c r="AA15" s="69">
        <v>1</v>
      </c>
      <c r="AG15" s="80"/>
    </row>
    <row r="16" spans="1:33" ht="13.8" x14ac:dyDescent="0.3">
      <c r="A16" s="45" t="s">
        <v>256</v>
      </c>
      <c r="B16" s="46" t="s">
        <v>144</v>
      </c>
      <c r="C16" s="46">
        <v>20</v>
      </c>
      <c r="D16" s="46" t="s">
        <v>257</v>
      </c>
      <c r="E16" s="61">
        <f t="shared" si="3"/>
        <v>0.94700000000000006</v>
      </c>
      <c r="F16" s="355"/>
      <c r="K16" s="5"/>
      <c r="Q16" s="93" t="s">
        <v>463</v>
      </c>
      <c r="R16" s="94">
        <v>0.89001113183270453</v>
      </c>
      <c r="S16" s="93" t="s">
        <v>208</v>
      </c>
      <c r="W16" s="37" t="s">
        <v>338</v>
      </c>
      <c r="X16" s="44" t="s">
        <v>146</v>
      </c>
      <c r="Y16" s="44">
        <v>14</v>
      </c>
      <c r="Z16" s="44" t="s">
        <v>341</v>
      </c>
      <c r="AA16" s="69">
        <v>1</v>
      </c>
      <c r="AG16" s="80"/>
    </row>
    <row r="17" spans="1:33" ht="13.8" x14ac:dyDescent="0.3">
      <c r="A17" s="37" t="s">
        <v>222</v>
      </c>
      <c r="B17" s="44" t="s">
        <v>145</v>
      </c>
      <c r="C17" s="44">
        <v>19</v>
      </c>
      <c r="D17" s="44" t="s">
        <v>223</v>
      </c>
      <c r="E17" s="60">
        <f t="shared" si="3"/>
        <v>0.91042888352305396</v>
      </c>
      <c r="F17" s="355"/>
      <c r="K17" s="5"/>
      <c r="Q17" s="93" t="s">
        <v>262</v>
      </c>
      <c r="R17" s="94">
        <v>0.89235399590163933</v>
      </c>
      <c r="S17" s="93" t="s">
        <v>208</v>
      </c>
      <c r="W17" s="37" t="s">
        <v>290</v>
      </c>
      <c r="X17" s="44" t="s">
        <v>146</v>
      </c>
      <c r="Y17" s="44">
        <v>14</v>
      </c>
      <c r="Z17" s="44" t="s">
        <v>291</v>
      </c>
      <c r="AA17" s="69">
        <v>1</v>
      </c>
      <c r="AC17" s="67" t="s">
        <v>150</v>
      </c>
      <c r="AD17" s="68"/>
      <c r="AE17" s="68"/>
      <c r="AF17" s="42">
        <f>AVERAGE(Y$52:Y$70)</f>
        <v>14.578947368421053</v>
      </c>
      <c r="AG17" s="79"/>
    </row>
    <row r="18" spans="1:33" ht="14.4" thickBot="1" x14ac:dyDescent="0.35">
      <c r="A18" s="37" t="s">
        <v>224</v>
      </c>
      <c r="B18" s="44" t="s">
        <v>145</v>
      </c>
      <c r="C18" s="44">
        <v>19</v>
      </c>
      <c r="D18" s="44" t="s">
        <v>225</v>
      </c>
      <c r="E18" s="60">
        <f t="shared" si="3"/>
        <v>0.86662573118314323</v>
      </c>
      <c r="F18" s="355"/>
      <c r="K18" s="5"/>
      <c r="Q18" s="93" t="s">
        <v>388</v>
      </c>
      <c r="R18" s="94">
        <v>0.91199977892108686</v>
      </c>
      <c r="S18" s="93" t="s">
        <v>208</v>
      </c>
      <c r="W18" s="37" t="s">
        <v>364</v>
      </c>
      <c r="X18" s="44" t="s">
        <v>146</v>
      </c>
      <c r="Y18" s="44">
        <v>14</v>
      </c>
      <c r="Z18" s="44" t="s">
        <v>365</v>
      </c>
      <c r="AA18" s="69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3.8" x14ac:dyDescent="0.3">
      <c r="A19" s="119" t="s">
        <v>254</v>
      </c>
      <c r="B19" s="120" t="s">
        <v>145</v>
      </c>
      <c r="C19" s="120">
        <v>19</v>
      </c>
      <c r="D19" s="120" t="s">
        <v>255</v>
      </c>
      <c r="E19" s="121">
        <f t="shared" si="3"/>
        <v>0.71562826313957539</v>
      </c>
      <c r="F19" s="355"/>
      <c r="K19" s="5"/>
      <c r="Q19" s="93" t="s">
        <v>255</v>
      </c>
      <c r="R19" s="94">
        <v>0.71562826313957539</v>
      </c>
      <c r="S19" s="93" t="s">
        <v>209</v>
      </c>
      <c r="W19" s="37" t="s">
        <v>264</v>
      </c>
      <c r="X19" s="44" t="s">
        <v>147</v>
      </c>
      <c r="Y19" s="44">
        <v>13</v>
      </c>
      <c r="Z19" s="44" t="s">
        <v>464</v>
      </c>
      <c r="AA19" s="69">
        <v>1</v>
      </c>
      <c r="AC19" s="37" t="s">
        <v>142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8" x14ac:dyDescent="0.3">
      <c r="A20" s="37" t="s">
        <v>266</v>
      </c>
      <c r="B20" s="44" t="s">
        <v>145</v>
      </c>
      <c r="C20" s="44">
        <v>19</v>
      </c>
      <c r="D20" s="44" t="s">
        <v>267</v>
      </c>
      <c r="E20" s="69">
        <f t="shared" si="3"/>
        <v>0.81254016709511567</v>
      </c>
      <c r="F20" s="355"/>
      <c r="K20" s="5"/>
      <c r="Q20" s="93" t="s">
        <v>435</v>
      </c>
      <c r="R20" s="94">
        <v>0.99609846555590886</v>
      </c>
      <c r="S20" s="93" t="s">
        <v>208</v>
      </c>
      <c r="W20" s="37" t="s">
        <v>292</v>
      </c>
      <c r="X20" s="44" t="s">
        <v>147</v>
      </c>
      <c r="Y20" s="44">
        <v>13</v>
      </c>
      <c r="Z20" s="44" t="s">
        <v>451</v>
      </c>
      <c r="AA20" s="69">
        <v>1</v>
      </c>
      <c r="AC20" s="37" t="s">
        <v>144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8" x14ac:dyDescent="0.3">
      <c r="A21" s="37" t="s">
        <v>405</v>
      </c>
      <c r="B21" s="44" t="s">
        <v>145</v>
      </c>
      <c r="C21" s="44">
        <v>19</v>
      </c>
      <c r="D21" s="44" t="s">
        <v>406</v>
      </c>
      <c r="E21" s="60">
        <f t="shared" si="3"/>
        <v>0.83267459864721705</v>
      </c>
      <c r="F21" s="355"/>
      <c r="Q21" s="93" t="s">
        <v>199</v>
      </c>
      <c r="R21" s="94">
        <v>0.63157463237392464</v>
      </c>
      <c r="S21" s="93" t="s">
        <v>209</v>
      </c>
      <c r="W21" s="37" t="s">
        <v>306</v>
      </c>
      <c r="X21" s="44" t="s">
        <v>146</v>
      </c>
      <c r="Y21" s="44">
        <v>14</v>
      </c>
      <c r="Z21" s="44" t="s">
        <v>307</v>
      </c>
      <c r="AA21" s="69">
        <v>0.99967409016838671</v>
      </c>
      <c r="AC21" s="37" t="s">
        <v>145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8" x14ac:dyDescent="0.3">
      <c r="A22" s="37" t="s">
        <v>276</v>
      </c>
      <c r="B22" s="44" t="s">
        <v>145</v>
      </c>
      <c r="C22" s="44">
        <v>19</v>
      </c>
      <c r="D22" s="44" t="s">
        <v>277</v>
      </c>
      <c r="E22" s="60">
        <f t="shared" si="3"/>
        <v>0.36101059894989318</v>
      </c>
      <c r="F22" s="355"/>
      <c r="Q22" s="93" t="s">
        <v>464</v>
      </c>
      <c r="R22" s="94">
        <v>1</v>
      </c>
      <c r="S22" s="93" t="s">
        <v>208</v>
      </c>
      <c r="W22" s="37" t="s">
        <v>434</v>
      </c>
      <c r="X22" s="47" t="s">
        <v>433</v>
      </c>
      <c r="Y22" s="47"/>
      <c r="Z22" s="44" t="s">
        <v>435</v>
      </c>
      <c r="AA22" s="69">
        <v>0.99609846555590886</v>
      </c>
      <c r="AC22" s="37" t="s">
        <v>146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8" x14ac:dyDescent="0.3">
      <c r="A23" s="37" t="s">
        <v>418</v>
      </c>
      <c r="B23" s="44" t="s">
        <v>145</v>
      </c>
      <c r="C23" s="44">
        <v>19</v>
      </c>
      <c r="D23" s="44" t="s">
        <v>461</v>
      </c>
      <c r="E23" s="60">
        <f t="shared" si="3"/>
        <v>0.76017780502759058</v>
      </c>
      <c r="F23" s="355"/>
      <c r="Q23" s="93" t="s">
        <v>267</v>
      </c>
      <c r="R23" s="94">
        <v>0.81254016709511567</v>
      </c>
      <c r="S23" s="93" t="s">
        <v>208</v>
      </c>
      <c r="W23" s="37" t="s">
        <v>302</v>
      </c>
      <c r="X23" s="44" t="s">
        <v>146</v>
      </c>
      <c r="Y23" s="44">
        <v>14</v>
      </c>
      <c r="Z23" s="44" t="s">
        <v>303</v>
      </c>
      <c r="AA23" s="69">
        <v>0.99569209153466032</v>
      </c>
      <c r="AC23" s="37" t="s">
        <v>147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" thickBot="1" x14ac:dyDescent="0.35">
      <c r="A24" s="37" t="s">
        <v>404</v>
      </c>
      <c r="B24" s="44" t="s">
        <v>145</v>
      </c>
      <c r="C24" s="44">
        <v>19</v>
      </c>
      <c r="D24" s="44" t="s">
        <v>241</v>
      </c>
      <c r="E24" s="69">
        <f t="shared" si="3"/>
        <v>0.95294725244456668</v>
      </c>
      <c r="F24" s="355"/>
      <c r="Q24" s="93" t="s">
        <v>269</v>
      </c>
      <c r="R24" s="94">
        <v>0.76510407852428497</v>
      </c>
      <c r="S24" s="93" t="s">
        <v>209</v>
      </c>
      <c r="W24" s="37" t="s">
        <v>421</v>
      </c>
      <c r="X24" s="44" t="s">
        <v>178</v>
      </c>
      <c r="Y24" s="44">
        <v>12</v>
      </c>
      <c r="Z24" s="44" t="s">
        <v>422</v>
      </c>
      <c r="AA24" s="69">
        <v>0.99533285779852521</v>
      </c>
      <c r="AC24" s="53" t="s">
        <v>148</v>
      </c>
      <c r="AD24" s="55">
        <f>COUNTIF(Y$52:Y$70,"&lt;13")</f>
        <v>0</v>
      </c>
      <c r="AE24" s="56">
        <f t="shared" si="4"/>
        <v>0</v>
      </c>
      <c r="AG24" s="80"/>
    </row>
    <row r="25" spans="1:33" ht="13.8" x14ac:dyDescent="0.3">
      <c r="A25" s="37" t="s">
        <v>282</v>
      </c>
      <c r="B25" s="44" t="s">
        <v>145</v>
      </c>
      <c r="C25" s="44">
        <v>19</v>
      </c>
      <c r="D25" s="44" t="s">
        <v>283</v>
      </c>
      <c r="E25" s="60">
        <f t="shared" si="3"/>
        <v>0.76907329412838532</v>
      </c>
      <c r="F25" s="355"/>
      <c r="Q25" s="93" t="s">
        <v>465</v>
      </c>
      <c r="R25" s="94">
        <v>0.96341849943457658</v>
      </c>
      <c r="S25" s="93" t="s">
        <v>208</v>
      </c>
      <c r="W25" s="37" t="s">
        <v>310</v>
      </c>
      <c r="X25" s="44" t="s">
        <v>178</v>
      </c>
      <c r="Y25" s="44">
        <v>12</v>
      </c>
      <c r="Z25" s="44" t="s">
        <v>466</v>
      </c>
      <c r="AA25" s="69">
        <v>0.99461817608484948</v>
      </c>
      <c r="AC25" s="41" t="s">
        <v>149</v>
      </c>
      <c r="AD25" s="51">
        <f>SUM(AD19:AD24)</f>
        <v>19</v>
      </c>
      <c r="AE25" s="52">
        <f t="shared" si="4"/>
        <v>1</v>
      </c>
      <c r="AG25" s="80"/>
    </row>
    <row r="26" spans="1:33" ht="13.8" x14ac:dyDescent="0.3">
      <c r="A26" s="37" t="s">
        <v>392</v>
      </c>
      <c r="B26" s="44" t="s">
        <v>145</v>
      </c>
      <c r="C26" s="44">
        <v>19</v>
      </c>
      <c r="D26" s="44" t="s">
        <v>393</v>
      </c>
      <c r="E26" s="69">
        <f t="shared" si="3"/>
        <v>0.73349447513812149</v>
      </c>
      <c r="F26" s="355"/>
      <c r="Q26" s="93" t="s">
        <v>233</v>
      </c>
      <c r="R26" s="94">
        <v>0.89318320146074259</v>
      </c>
      <c r="S26" s="93" t="s">
        <v>208</v>
      </c>
      <c r="W26" s="37" t="s">
        <v>286</v>
      </c>
      <c r="X26" s="44" t="s">
        <v>146</v>
      </c>
      <c r="Y26" s="44">
        <v>14</v>
      </c>
      <c r="Z26" s="44" t="s">
        <v>287</v>
      </c>
      <c r="AA26" s="69">
        <v>0.99126425624848336</v>
      </c>
      <c r="AG26" s="80"/>
    </row>
    <row r="27" spans="1:33" ht="13.8" x14ac:dyDescent="0.3">
      <c r="A27" s="37" t="s">
        <v>437</v>
      </c>
      <c r="B27" s="44" t="s">
        <v>145</v>
      </c>
      <c r="C27" s="44">
        <v>19</v>
      </c>
      <c r="D27" s="44" t="s">
        <v>438</v>
      </c>
      <c r="E27" s="60">
        <f t="shared" si="3"/>
        <v>0.85816623707026407</v>
      </c>
      <c r="F27" s="355"/>
      <c r="Q27" s="93" t="s">
        <v>378</v>
      </c>
      <c r="R27" s="94">
        <v>1.0292149475019923</v>
      </c>
      <c r="S27" s="93" t="s">
        <v>208</v>
      </c>
      <c r="W27" s="37" t="s">
        <v>399</v>
      </c>
      <c r="X27" s="44" t="s">
        <v>146</v>
      </c>
      <c r="Y27" s="44">
        <v>14</v>
      </c>
      <c r="Z27" s="44" t="s">
        <v>400</v>
      </c>
      <c r="AA27" s="69">
        <v>0.98872477714287255</v>
      </c>
      <c r="AG27" s="80"/>
    </row>
    <row r="28" spans="1:33" ht="13.8" x14ac:dyDescent="0.3">
      <c r="A28" s="37" t="s">
        <v>357</v>
      </c>
      <c r="B28" s="44" t="s">
        <v>145</v>
      </c>
      <c r="C28" s="44">
        <v>19</v>
      </c>
      <c r="D28" s="44" t="s">
        <v>358</v>
      </c>
      <c r="E28" s="60">
        <f t="shared" si="3"/>
        <v>0.77444478716841458</v>
      </c>
      <c r="F28" s="355"/>
      <c r="Q28" s="93" t="s">
        <v>341</v>
      </c>
      <c r="R28" s="94">
        <v>1</v>
      </c>
      <c r="S28" s="93" t="s">
        <v>208</v>
      </c>
      <c r="W28" s="37" t="s">
        <v>300</v>
      </c>
      <c r="X28" s="47" t="s">
        <v>433</v>
      </c>
      <c r="Y28" s="47"/>
      <c r="Z28" s="47" t="s">
        <v>301</v>
      </c>
      <c r="AA28" s="62">
        <v>0.98538704581358605</v>
      </c>
      <c r="AC28" s="67" t="s">
        <v>152</v>
      </c>
      <c r="AD28" s="68"/>
      <c r="AE28" s="68"/>
      <c r="AF28" s="42">
        <f>AVERAGE(Y$71:Y$74)</f>
        <v>11.5</v>
      </c>
      <c r="AG28" s="79"/>
    </row>
    <row r="29" spans="1:33" ht="14.4" thickBot="1" x14ac:dyDescent="0.35">
      <c r="A29" s="37" t="s">
        <v>296</v>
      </c>
      <c r="B29" s="44" t="s">
        <v>145</v>
      </c>
      <c r="C29" s="44">
        <v>19</v>
      </c>
      <c r="D29" s="44" t="s">
        <v>297</v>
      </c>
      <c r="E29" s="60">
        <f t="shared" si="3"/>
        <v>0.66251692368655679</v>
      </c>
      <c r="F29" s="355"/>
      <c r="Q29" s="93" t="s">
        <v>467</v>
      </c>
      <c r="R29" s="94">
        <v>0.11951366732775717</v>
      </c>
      <c r="S29" s="93" t="s">
        <v>199</v>
      </c>
      <c r="W29" s="37" t="s">
        <v>288</v>
      </c>
      <c r="X29" s="44" t="s">
        <v>146</v>
      </c>
      <c r="Y29" s="44">
        <v>14</v>
      </c>
      <c r="Z29" s="44" t="s">
        <v>289</v>
      </c>
      <c r="AA29" s="69">
        <v>0.97697589100213744</v>
      </c>
      <c r="AC29" s="57" t="s">
        <v>215</v>
      </c>
      <c r="AD29" s="57" t="s">
        <v>139</v>
      </c>
      <c r="AE29" s="57" t="s">
        <v>140</v>
      </c>
    </row>
    <row r="30" spans="1:33" ht="13.8" x14ac:dyDescent="0.3">
      <c r="A30" s="37" t="s">
        <v>379</v>
      </c>
      <c r="B30" s="44" t="s">
        <v>145</v>
      </c>
      <c r="C30" s="44">
        <v>19</v>
      </c>
      <c r="D30" s="44" t="s">
        <v>385</v>
      </c>
      <c r="E30" s="69">
        <f t="shared" si="3"/>
        <v>0.93843994106691131</v>
      </c>
      <c r="F30" s="355"/>
      <c r="Q30" s="93" t="s">
        <v>271</v>
      </c>
      <c r="R30" s="94">
        <v>0.7886228860092247</v>
      </c>
      <c r="S30" s="93" t="s">
        <v>209</v>
      </c>
      <c r="W30" s="37" t="s">
        <v>355</v>
      </c>
      <c r="X30" s="44" t="s">
        <v>144</v>
      </c>
      <c r="Y30" s="44">
        <v>16</v>
      </c>
      <c r="Z30" s="44" t="s">
        <v>356</v>
      </c>
      <c r="AA30" s="69">
        <v>0.975461842272901</v>
      </c>
      <c r="AC30" s="37" t="s">
        <v>142</v>
      </c>
      <c r="AD30" s="49">
        <f>COUNTIF(Y$71:Y$74,"&gt;16")</f>
        <v>0</v>
      </c>
      <c r="AE30" s="50">
        <f>AD30/AD$36</f>
        <v>0</v>
      </c>
    </row>
    <row r="31" spans="1:33" ht="13.8" x14ac:dyDescent="0.3">
      <c r="A31" s="45" t="s">
        <v>227</v>
      </c>
      <c r="B31" s="46" t="s">
        <v>146</v>
      </c>
      <c r="C31" s="46">
        <v>18</v>
      </c>
      <c r="D31" s="46" t="s">
        <v>228</v>
      </c>
      <c r="E31" s="61">
        <f t="shared" si="3"/>
        <v>0.96680210088197405</v>
      </c>
      <c r="F31" s="355"/>
      <c r="K31" s="122"/>
      <c r="L31" s="122"/>
      <c r="Q31" s="93" t="s">
        <v>273</v>
      </c>
      <c r="R31" s="94">
        <v>0.80341264723043471</v>
      </c>
      <c r="S31" s="93" t="s">
        <v>208</v>
      </c>
      <c r="W31" s="37" t="s">
        <v>468</v>
      </c>
      <c r="X31" s="44" t="s">
        <v>178</v>
      </c>
      <c r="Y31" s="44">
        <v>12</v>
      </c>
      <c r="Z31" s="44" t="s">
        <v>469</v>
      </c>
      <c r="AA31" s="69">
        <v>0.97036252976978032</v>
      </c>
      <c r="AC31" s="37" t="s">
        <v>144</v>
      </c>
      <c r="AD31" s="49">
        <f>COUNTIF(Y$71:Y$74,"=16")</f>
        <v>0</v>
      </c>
      <c r="AE31" s="50">
        <f t="shared" ref="AE31:AE36" si="5">AD31/AD$36</f>
        <v>0</v>
      </c>
    </row>
    <row r="32" spans="1:33" ht="13.8" x14ac:dyDescent="0.3">
      <c r="A32" s="45" t="s">
        <v>243</v>
      </c>
      <c r="B32" s="46" t="s">
        <v>146</v>
      </c>
      <c r="C32" s="46">
        <v>18</v>
      </c>
      <c r="D32" s="46" t="s">
        <v>244</v>
      </c>
      <c r="E32" s="61">
        <f t="shared" si="3"/>
        <v>0.91095138568993894</v>
      </c>
      <c r="F32" s="355"/>
      <c r="L32" s="122"/>
      <c r="Q32" s="93" t="s">
        <v>275</v>
      </c>
      <c r="R32" s="94">
        <v>0.58646630934150079</v>
      </c>
      <c r="S32" s="93" t="s">
        <v>209</v>
      </c>
      <c r="W32" s="37" t="s">
        <v>227</v>
      </c>
      <c r="X32" s="44" t="s">
        <v>146</v>
      </c>
      <c r="Y32" s="44">
        <v>14</v>
      </c>
      <c r="Z32" s="44" t="s">
        <v>228</v>
      </c>
      <c r="AA32" s="69">
        <v>0.96680210088197405</v>
      </c>
      <c r="AC32" s="37" t="s">
        <v>145</v>
      </c>
      <c r="AD32" s="49">
        <f>COUNTIF(Y$71:Y$74,"=15")</f>
        <v>1</v>
      </c>
      <c r="AE32" s="50">
        <f t="shared" si="5"/>
        <v>0.25</v>
      </c>
    </row>
    <row r="33" spans="1:31" ht="13.8" x14ac:dyDescent="0.3">
      <c r="A33" s="45" t="s">
        <v>259</v>
      </c>
      <c r="B33" s="46" t="s">
        <v>146</v>
      </c>
      <c r="C33" s="46">
        <v>18</v>
      </c>
      <c r="D33" s="46" t="s">
        <v>388</v>
      </c>
      <c r="E33" s="61">
        <f t="shared" si="3"/>
        <v>0.91199977892108686</v>
      </c>
      <c r="F33" s="355"/>
      <c r="L33" s="122"/>
      <c r="Q33" s="93" t="s">
        <v>281</v>
      </c>
      <c r="R33" s="94">
        <v>0.64970550208303401</v>
      </c>
      <c r="S33" s="93" t="s">
        <v>209</v>
      </c>
      <c r="W33" s="37" t="s">
        <v>470</v>
      </c>
      <c r="X33" s="44" t="s">
        <v>144</v>
      </c>
      <c r="Y33" s="44">
        <v>16</v>
      </c>
      <c r="Z33" s="44" t="s">
        <v>465</v>
      </c>
      <c r="AA33" s="69">
        <v>0.96341849943457658</v>
      </c>
      <c r="AC33" s="37" t="s">
        <v>146</v>
      </c>
      <c r="AD33" s="49">
        <f>COUNTIF(Y$71:Y$74,"=14")</f>
        <v>0</v>
      </c>
      <c r="AE33" s="50">
        <f t="shared" si="5"/>
        <v>0</v>
      </c>
    </row>
    <row r="34" spans="1:31" ht="13.8" x14ac:dyDescent="0.3">
      <c r="A34" s="45" t="s">
        <v>338</v>
      </c>
      <c r="B34" s="46" t="s">
        <v>146</v>
      </c>
      <c r="C34" s="46">
        <v>18</v>
      </c>
      <c r="D34" s="46" t="s">
        <v>341</v>
      </c>
      <c r="E34" s="61">
        <f t="shared" si="3"/>
        <v>1</v>
      </c>
      <c r="F34" s="355"/>
      <c r="L34" s="122"/>
      <c r="Q34" s="93" t="s">
        <v>363</v>
      </c>
      <c r="R34" s="94">
        <v>1.0379329114785329</v>
      </c>
      <c r="S34" s="93" t="s">
        <v>208</v>
      </c>
      <c r="W34" s="37" t="s">
        <v>404</v>
      </c>
      <c r="X34" s="44" t="s">
        <v>145</v>
      </c>
      <c r="Y34" s="44">
        <v>15</v>
      </c>
      <c r="Z34" s="44" t="s">
        <v>241</v>
      </c>
      <c r="AA34" s="69">
        <v>0.95294725244456668</v>
      </c>
      <c r="AC34" s="37" t="s">
        <v>147</v>
      </c>
      <c r="AD34" s="49">
        <f>COUNTIF(Y$71:Y$74,"=13")</f>
        <v>2</v>
      </c>
      <c r="AE34" s="50">
        <f t="shared" si="5"/>
        <v>0.5</v>
      </c>
    </row>
    <row r="35" spans="1:31" ht="14.4" thickBot="1" x14ac:dyDescent="0.35">
      <c r="A35" s="45" t="s">
        <v>272</v>
      </c>
      <c r="B35" s="46" t="s">
        <v>146</v>
      </c>
      <c r="C35" s="46">
        <v>18</v>
      </c>
      <c r="D35" s="46" t="s">
        <v>273</v>
      </c>
      <c r="E35" s="61">
        <f t="shared" si="3"/>
        <v>0.80341264723043471</v>
      </c>
      <c r="F35" s="355"/>
      <c r="G35" s="49" t="s">
        <v>383</v>
      </c>
      <c r="L35" s="122"/>
      <c r="Q35" s="93" t="s">
        <v>285</v>
      </c>
      <c r="R35" s="94">
        <v>0.47637430521244206</v>
      </c>
      <c r="S35" s="93" t="s">
        <v>199</v>
      </c>
      <c r="W35" s="37" t="s">
        <v>256</v>
      </c>
      <c r="X35" s="44" t="s">
        <v>144</v>
      </c>
      <c r="Y35" s="44">
        <v>16</v>
      </c>
      <c r="Z35" s="44" t="s">
        <v>257</v>
      </c>
      <c r="AA35" s="69">
        <v>0.94700000000000006</v>
      </c>
      <c r="AC35" s="53" t="s">
        <v>148</v>
      </c>
      <c r="AD35" s="55">
        <f>COUNTIF(Y$71:Y$74,"&lt;13")</f>
        <v>1</v>
      </c>
      <c r="AE35" s="56">
        <f t="shared" si="5"/>
        <v>0.25</v>
      </c>
    </row>
    <row r="36" spans="1:31" ht="13.8" x14ac:dyDescent="0.3">
      <c r="A36" s="45" t="s">
        <v>274</v>
      </c>
      <c r="B36" s="46" t="s">
        <v>146</v>
      </c>
      <c r="C36" s="46">
        <v>18</v>
      </c>
      <c r="D36" s="46" t="s">
        <v>275</v>
      </c>
      <c r="E36" s="61">
        <f t="shared" si="3"/>
        <v>0.58646630934150079</v>
      </c>
      <c r="F36" s="355"/>
      <c r="G36" s="92"/>
      <c r="H36" s="7"/>
      <c r="I36" s="7"/>
      <c r="L36" s="122"/>
      <c r="Q36" s="93" t="s">
        <v>289</v>
      </c>
      <c r="R36" s="94">
        <v>0.97697589100213744</v>
      </c>
      <c r="S36" s="93" t="s">
        <v>208</v>
      </c>
      <c r="W36" s="37" t="s">
        <v>379</v>
      </c>
      <c r="X36" s="44" t="s">
        <v>145</v>
      </c>
      <c r="Y36" s="44">
        <v>15</v>
      </c>
      <c r="Z36" s="44" t="s">
        <v>385</v>
      </c>
      <c r="AA36" s="69">
        <v>0.93843994106691131</v>
      </c>
      <c r="AC36" s="41" t="s">
        <v>149</v>
      </c>
      <c r="AD36" s="51">
        <f>SUM(AD30:AD35)</f>
        <v>4</v>
      </c>
      <c r="AE36" s="52">
        <f t="shared" si="5"/>
        <v>1</v>
      </c>
    </row>
    <row r="37" spans="1:31" ht="13.8" x14ac:dyDescent="0.3">
      <c r="A37" s="45" t="s">
        <v>362</v>
      </c>
      <c r="B37" s="46" t="s">
        <v>146</v>
      </c>
      <c r="C37" s="46">
        <v>18</v>
      </c>
      <c r="D37" s="46" t="s">
        <v>363</v>
      </c>
      <c r="E37" s="61">
        <f t="shared" si="3"/>
        <v>1.0379329114785329</v>
      </c>
      <c r="F37" s="355"/>
      <c r="H37" s="5"/>
      <c r="J37" s="7"/>
      <c r="Q37" s="93" t="s">
        <v>225</v>
      </c>
      <c r="R37" s="94">
        <v>0.86662573118314323</v>
      </c>
      <c r="S37" s="93" t="s">
        <v>208</v>
      </c>
      <c r="W37" s="37" t="s">
        <v>308</v>
      </c>
      <c r="X37" s="44" t="s">
        <v>180</v>
      </c>
      <c r="Y37" s="44">
        <v>11</v>
      </c>
      <c r="Z37" s="44" t="s">
        <v>309</v>
      </c>
      <c r="AA37" s="69">
        <v>0.93520619672453054</v>
      </c>
    </row>
    <row r="38" spans="1:31" ht="13.8" x14ac:dyDescent="0.3">
      <c r="A38" s="45" t="s">
        <v>288</v>
      </c>
      <c r="B38" s="46" t="s">
        <v>146</v>
      </c>
      <c r="C38" s="46">
        <v>18</v>
      </c>
      <c r="D38" s="46" t="s">
        <v>289</v>
      </c>
      <c r="E38" s="61">
        <f t="shared" si="3"/>
        <v>0.97697589100213744</v>
      </c>
      <c r="F38" s="355"/>
      <c r="H38" s="5"/>
      <c r="J38" s="8"/>
      <c r="Q38" s="93" t="s">
        <v>277</v>
      </c>
      <c r="R38" s="94">
        <v>0.36101059894989318</v>
      </c>
      <c r="S38" s="93" t="s">
        <v>199</v>
      </c>
      <c r="W38" s="37" t="s">
        <v>298</v>
      </c>
      <c r="X38" s="44" t="s">
        <v>171</v>
      </c>
      <c r="Y38" s="44">
        <v>17</v>
      </c>
      <c r="Z38" s="44" t="s">
        <v>299</v>
      </c>
      <c r="AA38" s="69">
        <v>0.92936836749527552</v>
      </c>
    </row>
    <row r="39" spans="1:31" ht="13.8" x14ac:dyDescent="0.3">
      <c r="A39" s="45" t="s">
        <v>302</v>
      </c>
      <c r="B39" s="46" t="s">
        <v>146</v>
      </c>
      <c r="C39" s="46">
        <v>18</v>
      </c>
      <c r="D39" s="46" t="s">
        <v>303</v>
      </c>
      <c r="E39" s="61">
        <f t="shared" si="3"/>
        <v>0.99569209153466032</v>
      </c>
      <c r="F39" s="355"/>
      <c r="H39" s="5"/>
      <c r="J39" s="8"/>
      <c r="Q39" s="93" t="s">
        <v>471</v>
      </c>
      <c r="R39" s="94">
        <v>0.78418126509511765</v>
      </c>
      <c r="S39" s="93" t="s">
        <v>209</v>
      </c>
      <c r="W39" s="37" t="s">
        <v>252</v>
      </c>
      <c r="X39" s="44" t="s">
        <v>144</v>
      </c>
      <c r="Y39" s="44">
        <v>16</v>
      </c>
      <c r="Z39" s="44" t="s">
        <v>253</v>
      </c>
      <c r="AA39" s="69">
        <v>0.91865112788863534</v>
      </c>
    </row>
    <row r="40" spans="1:31" ht="13.8" x14ac:dyDescent="0.3">
      <c r="A40" s="116" t="s">
        <v>306</v>
      </c>
      <c r="B40" s="117" t="s">
        <v>146</v>
      </c>
      <c r="C40" s="117">
        <v>18</v>
      </c>
      <c r="D40" s="117" t="s">
        <v>307</v>
      </c>
      <c r="E40" s="118">
        <f t="shared" si="3"/>
        <v>0.99967409016838671</v>
      </c>
      <c r="F40" s="355"/>
      <c r="H40" s="5"/>
      <c r="J40" s="8"/>
      <c r="Q40" s="93" t="s">
        <v>246</v>
      </c>
      <c r="R40" s="94">
        <v>0.541533003736272</v>
      </c>
      <c r="S40" s="93" t="s">
        <v>209</v>
      </c>
      <c r="W40" s="37" t="s">
        <v>259</v>
      </c>
      <c r="X40" s="44" t="s">
        <v>146</v>
      </c>
      <c r="Y40" s="44">
        <v>14</v>
      </c>
      <c r="Z40" s="44" t="s">
        <v>388</v>
      </c>
      <c r="AA40" s="69">
        <v>0.91199977892108686</v>
      </c>
    </row>
    <row r="41" spans="1:31" ht="13.8" x14ac:dyDescent="0.3">
      <c r="A41" s="45" t="s">
        <v>286</v>
      </c>
      <c r="B41" s="46" t="s">
        <v>146</v>
      </c>
      <c r="C41" s="46">
        <v>18</v>
      </c>
      <c r="D41" s="46" t="s">
        <v>287</v>
      </c>
      <c r="E41" s="61">
        <f t="shared" si="3"/>
        <v>0.99126425624848336</v>
      </c>
      <c r="F41" s="355"/>
      <c r="H41" s="5"/>
      <c r="J41" s="8"/>
      <c r="Q41" s="93" t="s">
        <v>279</v>
      </c>
      <c r="R41" s="94">
        <v>0.57845507252191697</v>
      </c>
      <c r="S41" s="93" t="s">
        <v>209</v>
      </c>
      <c r="W41" s="37" t="s">
        <v>243</v>
      </c>
      <c r="X41" s="44" t="s">
        <v>146</v>
      </c>
      <c r="Y41" s="44">
        <v>14</v>
      </c>
      <c r="Z41" s="44" t="s">
        <v>244</v>
      </c>
      <c r="AA41" s="69">
        <v>0.91095138568993894</v>
      </c>
    </row>
    <row r="42" spans="1:31" ht="13.8" x14ac:dyDescent="0.3">
      <c r="A42" s="45" t="s">
        <v>290</v>
      </c>
      <c r="B42" s="46" t="s">
        <v>146</v>
      </c>
      <c r="C42" s="46">
        <v>18</v>
      </c>
      <c r="D42" s="46" t="s">
        <v>291</v>
      </c>
      <c r="E42" s="61">
        <f t="shared" si="3"/>
        <v>1</v>
      </c>
      <c r="F42" s="355"/>
      <c r="H42" s="5"/>
      <c r="J42" s="8"/>
      <c r="Q42" s="93" t="s">
        <v>442</v>
      </c>
      <c r="R42" s="94">
        <v>1</v>
      </c>
      <c r="S42" s="93" t="s">
        <v>208</v>
      </c>
      <c r="W42" s="37" t="s">
        <v>222</v>
      </c>
      <c r="X42" s="44" t="s">
        <v>145</v>
      </c>
      <c r="Y42" s="44">
        <v>15</v>
      </c>
      <c r="Z42" s="44" t="s">
        <v>223</v>
      </c>
      <c r="AA42" s="69">
        <v>0.91042888352305396</v>
      </c>
    </row>
    <row r="43" spans="1:31" ht="13.8" x14ac:dyDescent="0.3">
      <c r="A43" s="45" t="s">
        <v>248</v>
      </c>
      <c r="B43" s="46" t="s">
        <v>146</v>
      </c>
      <c r="C43" s="46">
        <v>18</v>
      </c>
      <c r="D43" s="46" t="s">
        <v>249</v>
      </c>
      <c r="E43" s="61">
        <f>VLOOKUP($D43,$Q$7:$R$68,2,0)</f>
        <v>0.61841824770837783</v>
      </c>
      <c r="F43" s="355"/>
      <c r="Q43" s="93" t="s">
        <v>241</v>
      </c>
      <c r="R43" s="94">
        <v>0.95294725244456668</v>
      </c>
      <c r="S43" s="93" t="s">
        <v>208</v>
      </c>
      <c r="W43" s="37" t="s">
        <v>232</v>
      </c>
      <c r="X43" s="44" t="s">
        <v>144</v>
      </c>
      <c r="Y43" s="44">
        <v>16</v>
      </c>
      <c r="Z43" s="44" t="s">
        <v>233</v>
      </c>
      <c r="AA43" s="69">
        <v>0.89318320146074259</v>
      </c>
    </row>
    <row r="44" spans="1:31" ht="13.8" x14ac:dyDescent="0.3">
      <c r="A44" s="45" t="s">
        <v>294</v>
      </c>
      <c r="B44" s="46" t="s">
        <v>146</v>
      </c>
      <c r="C44" s="46">
        <v>18</v>
      </c>
      <c r="D44" s="46" t="s">
        <v>295</v>
      </c>
      <c r="E44" s="61">
        <f t="shared" si="3"/>
        <v>0.5641445718679996</v>
      </c>
      <c r="F44" s="355"/>
      <c r="Q44" s="93" t="s">
        <v>422</v>
      </c>
      <c r="R44" s="94">
        <v>0.99533285779852521</v>
      </c>
      <c r="S44" s="93" t="s">
        <v>208</v>
      </c>
      <c r="W44" s="37" t="s">
        <v>261</v>
      </c>
      <c r="X44" s="44" t="s">
        <v>147</v>
      </c>
      <c r="Y44" s="44">
        <v>13</v>
      </c>
      <c r="Z44" s="44" t="s">
        <v>262</v>
      </c>
      <c r="AA44" s="69">
        <v>0.89235399590163933</v>
      </c>
    </row>
    <row r="45" spans="1:31" ht="13.8" x14ac:dyDescent="0.3">
      <c r="A45" s="45" t="s">
        <v>399</v>
      </c>
      <c r="B45" s="46" t="s">
        <v>146</v>
      </c>
      <c r="C45" s="46">
        <v>18</v>
      </c>
      <c r="D45" s="46" t="s">
        <v>400</v>
      </c>
      <c r="E45" s="61">
        <f t="shared" si="3"/>
        <v>0.98872477714287255</v>
      </c>
      <c r="F45" s="355"/>
      <c r="Q45" s="93" t="s">
        <v>303</v>
      </c>
      <c r="R45" s="94">
        <v>0.99569209153466032</v>
      </c>
      <c r="S45" s="93" t="s">
        <v>208</v>
      </c>
      <c r="W45" s="37" t="s">
        <v>472</v>
      </c>
      <c r="X45" s="44" t="s">
        <v>171</v>
      </c>
      <c r="Y45" s="44">
        <v>17</v>
      </c>
      <c r="Z45" s="44" t="s">
        <v>463</v>
      </c>
      <c r="AA45" s="69">
        <v>0.89001113183270453</v>
      </c>
    </row>
    <row r="46" spans="1:31" ht="13.8" x14ac:dyDescent="0.3">
      <c r="A46" s="45" t="s">
        <v>364</v>
      </c>
      <c r="B46" s="46" t="s">
        <v>146</v>
      </c>
      <c r="C46" s="46">
        <v>18</v>
      </c>
      <c r="D46" s="46" t="s">
        <v>365</v>
      </c>
      <c r="E46" s="61">
        <f t="shared" ref="E46:E67" si="6">VLOOKUP($D46,$Q$7:$R$68,2,0)</f>
        <v>1</v>
      </c>
      <c r="F46" s="355"/>
      <c r="G46" s="122"/>
      <c r="J46" s="122"/>
      <c r="Q46" s="93" t="s">
        <v>283</v>
      </c>
      <c r="R46" s="94">
        <v>0.76907329412838532</v>
      </c>
      <c r="S46" s="93" t="s">
        <v>209</v>
      </c>
      <c r="W46" s="37" t="s">
        <v>224</v>
      </c>
      <c r="X46" s="44" t="s">
        <v>145</v>
      </c>
      <c r="Y46" s="44">
        <v>15</v>
      </c>
      <c r="Z46" s="44" t="s">
        <v>225</v>
      </c>
      <c r="AA46" s="69">
        <v>0.86662573118314323</v>
      </c>
    </row>
    <row r="47" spans="1:31" ht="13.8" x14ac:dyDescent="0.3">
      <c r="A47" s="37" t="s">
        <v>230</v>
      </c>
      <c r="B47" s="44" t="s">
        <v>147</v>
      </c>
      <c r="C47" s="44">
        <v>17</v>
      </c>
      <c r="D47" s="44" t="s">
        <v>231</v>
      </c>
      <c r="E47" s="60">
        <f t="shared" si="6"/>
        <v>0.84669359982989578</v>
      </c>
      <c r="F47" s="355"/>
      <c r="G47" s="122"/>
      <c r="I47" s="122"/>
      <c r="J47" s="122"/>
      <c r="Q47" s="93" t="s">
        <v>305</v>
      </c>
      <c r="R47" s="94">
        <v>0.62481029959532464</v>
      </c>
      <c r="S47" s="93" t="s">
        <v>209</v>
      </c>
      <c r="W47" s="37" t="s">
        <v>437</v>
      </c>
      <c r="X47" s="44" t="s">
        <v>145</v>
      </c>
      <c r="Y47" s="44">
        <v>15</v>
      </c>
      <c r="Z47" s="44" t="s">
        <v>438</v>
      </c>
      <c r="AA47" s="69">
        <v>0.85816623707026407</v>
      </c>
    </row>
    <row r="48" spans="1:31" ht="13.8" x14ac:dyDescent="0.3">
      <c r="A48" s="37" t="s">
        <v>250</v>
      </c>
      <c r="B48" s="44" t="s">
        <v>147</v>
      </c>
      <c r="C48" s="44">
        <v>17</v>
      </c>
      <c r="D48" s="44" t="s">
        <v>251</v>
      </c>
      <c r="E48" s="60">
        <f t="shared" si="6"/>
        <v>0.68875112521618576</v>
      </c>
      <c r="F48" s="355"/>
      <c r="G48" s="122"/>
      <c r="I48" s="122"/>
      <c r="J48" s="122"/>
      <c r="Q48" s="93" t="s">
        <v>307</v>
      </c>
      <c r="R48" s="94">
        <v>0.99967409016838671</v>
      </c>
      <c r="S48" s="93" t="s">
        <v>208</v>
      </c>
      <c r="W48" s="37" t="s">
        <v>230</v>
      </c>
      <c r="X48" s="44" t="s">
        <v>147</v>
      </c>
      <c r="Y48" s="44">
        <v>13</v>
      </c>
      <c r="Z48" s="44" t="s">
        <v>231</v>
      </c>
      <c r="AA48" s="69">
        <v>0.84669359982989578</v>
      </c>
    </row>
    <row r="49" spans="1:27" ht="13.8" x14ac:dyDescent="0.3">
      <c r="A49" s="37" t="s">
        <v>261</v>
      </c>
      <c r="B49" s="44" t="s">
        <v>147</v>
      </c>
      <c r="C49" s="44">
        <v>17</v>
      </c>
      <c r="D49" s="44" t="s">
        <v>262</v>
      </c>
      <c r="E49" s="60">
        <f t="shared" si="6"/>
        <v>0.89235399590163933</v>
      </c>
      <c r="F49" s="355"/>
      <c r="G49" s="122"/>
      <c r="I49" s="122"/>
      <c r="J49" s="122"/>
      <c r="Q49" s="93" t="s">
        <v>295</v>
      </c>
      <c r="R49" s="94">
        <v>0.5641445718679996</v>
      </c>
      <c r="S49" s="93" t="s">
        <v>209</v>
      </c>
      <c r="W49" s="37" t="s">
        <v>405</v>
      </c>
      <c r="X49" s="44" t="s">
        <v>145</v>
      </c>
      <c r="Y49" s="44">
        <v>15</v>
      </c>
      <c r="Z49" s="44" t="s">
        <v>406</v>
      </c>
      <c r="AA49" s="69">
        <v>0.83267459864721705</v>
      </c>
    </row>
    <row r="50" spans="1:27" ht="13.8" x14ac:dyDescent="0.3">
      <c r="A50" s="37" t="s">
        <v>473</v>
      </c>
      <c r="B50" s="44" t="s">
        <v>147</v>
      </c>
      <c r="C50" s="44">
        <v>17</v>
      </c>
      <c r="D50" s="44" t="s">
        <v>462</v>
      </c>
      <c r="E50" s="69">
        <f t="shared" si="6"/>
        <v>0.33305692234682915</v>
      </c>
      <c r="F50" s="355"/>
      <c r="G50" s="122"/>
      <c r="I50" s="122"/>
      <c r="J50" s="122"/>
      <c r="Q50" s="93" t="s">
        <v>438</v>
      </c>
      <c r="R50" s="94">
        <v>0.85816623707026407</v>
      </c>
      <c r="S50" s="93" t="s">
        <v>208</v>
      </c>
      <c r="W50" s="37" t="s">
        <v>266</v>
      </c>
      <c r="X50" s="44" t="s">
        <v>145</v>
      </c>
      <c r="Y50" s="44">
        <v>15</v>
      </c>
      <c r="Z50" s="44" t="s">
        <v>267</v>
      </c>
      <c r="AA50" s="69">
        <v>0.81254016709511567</v>
      </c>
    </row>
    <row r="51" spans="1:27" ht="13.8" x14ac:dyDescent="0.3">
      <c r="A51" s="116" t="s">
        <v>264</v>
      </c>
      <c r="B51" s="117" t="s">
        <v>147</v>
      </c>
      <c r="C51" s="117">
        <v>17</v>
      </c>
      <c r="D51" s="117" t="s">
        <v>464</v>
      </c>
      <c r="E51" s="118">
        <f t="shared" si="6"/>
        <v>1</v>
      </c>
      <c r="F51" s="355"/>
      <c r="I51" s="122"/>
      <c r="J51" s="122"/>
      <c r="Q51" s="93" t="s">
        <v>309</v>
      </c>
      <c r="R51" s="94">
        <v>0.93520619672453054</v>
      </c>
      <c r="S51" s="93" t="s">
        <v>208</v>
      </c>
      <c r="W51" s="37" t="s">
        <v>272</v>
      </c>
      <c r="X51" s="44" t="s">
        <v>146</v>
      </c>
      <c r="Y51" s="44">
        <v>14</v>
      </c>
      <c r="Z51" s="44" t="s">
        <v>273</v>
      </c>
      <c r="AA51" s="69">
        <v>0.80341264723043471</v>
      </c>
    </row>
    <row r="52" spans="1:27" ht="13.8" x14ac:dyDescent="0.3">
      <c r="A52" s="37" t="s">
        <v>270</v>
      </c>
      <c r="B52" s="44" t="s">
        <v>147</v>
      </c>
      <c r="C52" s="44">
        <v>17</v>
      </c>
      <c r="D52" s="44" t="s">
        <v>271</v>
      </c>
      <c r="E52" s="60">
        <f t="shared" si="6"/>
        <v>0.7886228860092247</v>
      </c>
      <c r="F52" s="355"/>
      <c r="Q52" s="93" t="s">
        <v>287</v>
      </c>
      <c r="R52" s="94">
        <v>0.99126425624848336</v>
      </c>
      <c r="S52" s="93" t="s">
        <v>208</v>
      </c>
      <c r="W52" s="37" t="s">
        <v>270</v>
      </c>
      <c r="X52" s="44" t="s">
        <v>147</v>
      </c>
      <c r="Y52" s="44">
        <v>13</v>
      </c>
      <c r="Z52" s="44" t="s">
        <v>271</v>
      </c>
      <c r="AA52" s="69">
        <v>0.7886228860092247</v>
      </c>
    </row>
    <row r="53" spans="1:27" ht="13.8" x14ac:dyDescent="0.3">
      <c r="A53" s="37" t="s">
        <v>377</v>
      </c>
      <c r="B53" s="44" t="s">
        <v>147</v>
      </c>
      <c r="C53" s="44">
        <v>17</v>
      </c>
      <c r="D53" s="44" t="s">
        <v>378</v>
      </c>
      <c r="E53" s="60">
        <f t="shared" si="6"/>
        <v>1.0292149475019923</v>
      </c>
      <c r="F53" s="355"/>
      <c r="Q53" s="93" t="s">
        <v>393</v>
      </c>
      <c r="R53" s="94">
        <v>0.73349447513812149</v>
      </c>
      <c r="S53" s="93" t="s">
        <v>209</v>
      </c>
      <c r="W53" s="37" t="s">
        <v>474</v>
      </c>
      <c r="X53" s="44" t="s">
        <v>167</v>
      </c>
      <c r="Y53" s="44">
        <v>19</v>
      </c>
      <c r="Z53" s="44" t="s">
        <v>471</v>
      </c>
      <c r="AA53" s="69">
        <v>0.78418126509511765</v>
      </c>
    </row>
    <row r="54" spans="1:27" ht="13.8" x14ac:dyDescent="0.3">
      <c r="A54" s="37" t="s">
        <v>280</v>
      </c>
      <c r="B54" s="44" t="s">
        <v>147</v>
      </c>
      <c r="C54" s="44">
        <v>17</v>
      </c>
      <c r="D54" s="44" t="s">
        <v>281</v>
      </c>
      <c r="E54" s="60">
        <f t="shared" si="6"/>
        <v>0.64970550208303401</v>
      </c>
      <c r="F54" s="355"/>
      <c r="Q54" s="93" t="s">
        <v>291</v>
      </c>
      <c r="R54" s="94">
        <v>1</v>
      </c>
      <c r="S54" s="93" t="s">
        <v>208</v>
      </c>
      <c r="W54" s="37" t="s">
        <v>357</v>
      </c>
      <c r="X54" s="44" t="s">
        <v>145</v>
      </c>
      <c r="Y54" s="44">
        <v>15</v>
      </c>
      <c r="Z54" s="44" t="s">
        <v>358</v>
      </c>
      <c r="AA54" s="69">
        <v>0.77444478716841458</v>
      </c>
    </row>
    <row r="55" spans="1:27" ht="13.8" x14ac:dyDescent="0.3">
      <c r="A55" s="37" t="s">
        <v>284</v>
      </c>
      <c r="B55" s="44" t="s">
        <v>147</v>
      </c>
      <c r="C55" s="44">
        <v>17</v>
      </c>
      <c r="D55" s="44" t="s">
        <v>285</v>
      </c>
      <c r="E55" s="69">
        <f t="shared" si="6"/>
        <v>0.47637430521244206</v>
      </c>
      <c r="F55" s="355"/>
      <c r="Q55" s="93" t="s">
        <v>249</v>
      </c>
      <c r="R55" s="94">
        <v>0.61841824770837783</v>
      </c>
      <c r="S55" s="93" t="s">
        <v>209</v>
      </c>
      <c r="W55" s="37" t="s">
        <v>282</v>
      </c>
      <c r="X55" s="44" t="s">
        <v>145</v>
      </c>
      <c r="Y55" s="44">
        <v>15</v>
      </c>
      <c r="Z55" s="44" t="s">
        <v>283</v>
      </c>
      <c r="AA55" s="69">
        <v>0.76907329412838532</v>
      </c>
    </row>
    <row r="56" spans="1:27" ht="13.8" x14ac:dyDescent="0.3">
      <c r="A56" s="37" t="s">
        <v>292</v>
      </c>
      <c r="B56" s="44" t="s">
        <v>147</v>
      </c>
      <c r="C56" s="44">
        <v>17</v>
      </c>
      <c r="D56" s="44" t="s">
        <v>451</v>
      </c>
      <c r="E56" s="60">
        <f t="shared" si="6"/>
        <v>1</v>
      </c>
      <c r="F56" s="355"/>
      <c r="Q56" s="93" t="s">
        <v>466</v>
      </c>
      <c r="R56" s="94">
        <v>0.99461817608484948</v>
      </c>
      <c r="S56" s="93" t="s">
        <v>208</v>
      </c>
      <c r="W56" s="37" t="s">
        <v>268</v>
      </c>
      <c r="X56" s="44" t="s">
        <v>144</v>
      </c>
      <c r="Y56" s="44">
        <v>16</v>
      </c>
      <c r="Z56" s="44" t="s">
        <v>269</v>
      </c>
      <c r="AA56" s="69">
        <v>0.76510407852428497</v>
      </c>
    </row>
    <row r="57" spans="1:27" ht="13.8" x14ac:dyDescent="0.3">
      <c r="A57" s="37" t="s">
        <v>278</v>
      </c>
      <c r="B57" s="44" t="s">
        <v>147</v>
      </c>
      <c r="C57" s="44">
        <v>17</v>
      </c>
      <c r="D57" s="44" t="s">
        <v>279</v>
      </c>
      <c r="E57" s="60">
        <f t="shared" si="6"/>
        <v>0.57845507252191697</v>
      </c>
      <c r="F57" s="355"/>
      <c r="Q57" s="93" t="s">
        <v>358</v>
      </c>
      <c r="R57" s="94">
        <v>0.77444478716841458</v>
      </c>
      <c r="S57" s="93" t="s">
        <v>209</v>
      </c>
      <c r="W57" s="37" t="s">
        <v>418</v>
      </c>
      <c r="X57" s="44" t="s">
        <v>145</v>
      </c>
      <c r="Y57" s="44">
        <v>15</v>
      </c>
      <c r="Z57" s="44" t="s">
        <v>461</v>
      </c>
      <c r="AA57" s="69">
        <v>0.76017780502759058</v>
      </c>
    </row>
    <row r="58" spans="1:27" ht="13.8" x14ac:dyDescent="0.3">
      <c r="A58" s="37" t="s">
        <v>304</v>
      </c>
      <c r="B58" s="44" t="s">
        <v>147</v>
      </c>
      <c r="C58" s="44">
        <v>17</v>
      </c>
      <c r="D58" s="44" t="s">
        <v>305</v>
      </c>
      <c r="E58" s="60">
        <f t="shared" si="6"/>
        <v>0.62481029959532464</v>
      </c>
      <c r="F58" s="355"/>
      <c r="Q58" s="93" t="s">
        <v>299</v>
      </c>
      <c r="R58" s="94">
        <v>0.92936836749527552</v>
      </c>
      <c r="S58" s="93" t="s">
        <v>208</v>
      </c>
      <c r="W58" s="37" t="s">
        <v>392</v>
      </c>
      <c r="X58" s="44" t="s">
        <v>145</v>
      </c>
      <c r="Y58" s="44">
        <v>15</v>
      </c>
      <c r="Z58" s="44" t="s">
        <v>393</v>
      </c>
      <c r="AA58" s="69">
        <v>0.73349447513812149</v>
      </c>
    </row>
    <row r="59" spans="1:27" ht="13.8" x14ac:dyDescent="0.3">
      <c r="A59" s="45" t="s">
        <v>421</v>
      </c>
      <c r="B59" s="46" t="s">
        <v>178</v>
      </c>
      <c r="C59" s="46">
        <v>16</v>
      </c>
      <c r="D59" s="46" t="s">
        <v>422</v>
      </c>
      <c r="E59" s="61">
        <f t="shared" si="6"/>
        <v>0.99533285779852521</v>
      </c>
      <c r="F59" s="355"/>
      <c r="Q59" s="93" t="s">
        <v>297</v>
      </c>
      <c r="R59" s="94">
        <v>0.66251692368655679</v>
      </c>
      <c r="S59" s="93" t="s">
        <v>209</v>
      </c>
      <c r="W59" s="37" t="s">
        <v>254</v>
      </c>
      <c r="X59" s="44" t="s">
        <v>145</v>
      </c>
      <c r="Y59" s="44">
        <v>15</v>
      </c>
      <c r="Z59" s="44" t="s">
        <v>255</v>
      </c>
      <c r="AA59" s="69">
        <v>0.71562826313957539</v>
      </c>
    </row>
    <row r="60" spans="1:27" ht="13.8" x14ac:dyDescent="0.3">
      <c r="A60" s="45" t="s">
        <v>310</v>
      </c>
      <c r="B60" s="46" t="s">
        <v>178</v>
      </c>
      <c r="C60" s="46">
        <v>16</v>
      </c>
      <c r="D60" s="46" t="s">
        <v>466</v>
      </c>
      <c r="E60" s="61">
        <f t="shared" si="6"/>
        <v>0.99461817608484948</v>
      </c>
      <c r="F60" s="355"/>
      <c r="Q60" s="93" t="s">
        <v>385</v>
      </c>
      <c r="R60" s="94">
        <v>0.93843994106691131</v>
      </c>
      <c r="S60" s="93" t="s">
        <v>208</v>
      </c>
      <c r="W60" s="37" t="s">
        <v>250</v>
      </c>
      <c r="X60" s="44" t="s">
        <v>147</v>
      </c>
      <c r="Y60" s="44">
        <v>13</v>
      </c>
      <c r="Z60" s="44" t="s">
        <v>251</v>
      </c>
      <c r="AA60" s="69">
        <v>0.68875112521618576</v>
      </c>
    </row>
    <row r="61" spans="1:27" ht="13.8" x14ac:dyDescent="0.3">
      <c r="A61" s="37" t="s">
        <v>308</v>
      </c>
      <c r="B61" s="44" t="s">
        <v>180</v>
      </c>
      <c r="C61" s="44">
        <v>15</v>
      </c>
      <c r="D61" s="44" t="s">
        <v>309</v>
      </c>
      <c r="E61" s="69">
        <f t="shared" si="6"/>
        <v>0.93520619672453054</v>
      </c>
      <c r="F61" s="355"/>
      <c r="Q61" s="93" t="s">
        <v>406</v>
      </c>
      <c r="R61" s="94">
        <v>0.83267459864721705</v>
      </c>
      <c r="S61" s="93" t="s">
        <v>208</v>
      </c>
      <c r="W61" s="37" t="s">
        <v>296</v>
      </c>
      <c r="X61" s="44" t="s">
        <v>145</v>
      </c>
      <c r="Y61" s="44">
        <v>15</v>
      </c>
      <c r="Z61" s="44" t="s">
        <v>297</v>
      </c>
      <c r="AA61" s="69">
        <v>0.66251692368655679</v>
      </c>
    </row>
    <row r="62" spans="1:27" ht="14.4" thickBot="1" x14ac:dyDescent="0.35">
      <c r="A62" s="89" t="s">
        <v>381</v>
      </c>
      <c r="B62" s="90" t="s">
        <v>192</v>
      </c>
      <c r="C62" s="90">
        <v>9</v>
      </c>
      <c r="D62" s="90" t="s">
        <v>467</v>
      </c>
      <c r="E62" s="112">
        <f t="shared" si="6"/>
        <v>0.11951366732775717</v>
      </c>
      <c r="F62" s="355"/>
      <c r="Q62" s="93" t="s">
        <v>400</v>
      </c>
      <c r="R62" s="94">
        <v>0.98872477714287255</v>
      </c>
      <c r="S62" s="93" t="s">
        <v>208</v>
      </c>
      <c r="W62" s="37" t="s">
        <v>280</v>
      </c>
      <c r="X62" s="44" t="s">
        <v>147</v>
      </c>
      <c r="Y62" s="44">
        <v>13</v>
      </c>
      <c r="Z62" s="44" t="s">
        <v>281</v>
      </c>
      <c r="AA62" s="69">
        <v>0.64970550208303401</v>
      </c>
    </row>
    <row r="63" spans="1:27" ht="13.8" x14ac:dyDescent="0.3">
      <c r="A63" s="37" t="s">
        <v>394</v>
      </c>
      <c r="B63" s="44" t="s">
        <v>167</v>
      </c>
      <c r="C63" s="44">
        <v>23</v>
      </c>
      <c r="D63" s="44" t="s">
        <v>314</v>
      </c>
      <c r="E63" s="60">
        <f t="shared" si="6"/>
        <v>0.78418126509511765</v>
      </c>
      <c r="F63" s="355"/>
      <c r="Q63" s="93" t="s">
        <v>469</v>
      </c>
      <c r="R63" s="94">
        <v>0.97036252976978032</v>
      </c>
      <c r="S63" s="93" t="s">
        <v>208</v>
      </c>
      <c r="W63" s="37" t="s">
        <v>371</v>
      </c>
      <c r="X63" s="44" t="s">
        <v>144</v>
      </c>
      <c r="Y63" s="44">
        <v>16</v>
      </c>
      <c r="Z63" s="44" t="s">
        <v>199</v>
      </c>
      <c r="AA63" s="69">
        <v>0.63157463237392464</v>
      </c>
    </row>
    <row r="64" spans="1:27" ht="13.8" x14ac:dyDescent="0.3">
      <c r="A64" s="37" t="s">
        <v>426</v>
      </c>
      <c r="B64" s="44" t="s">
        <v>171</v>
      </c>
      <c r="C64" s="44">
        <v>21</v>
      </c>
      <c r="D64" s="44" t="s">
        <v>427</v>
      </c>
      <c r="E64" s="60">
        <f t="shared" si="6"/>
        <v>0.89001113183270453</v>
      </c>
      <c r="F64" s="355"/>
      <c r="Q64" s="93" t="s">
        <v>301</v>
      </c>
      <c r="R64" s="94">
        <v>0.98538704581358605</v>
      </c>
      <c r="S64" s="93" t="s">
        <v>208</v>
      </c>
      <c r="W64" s="37" t="s">
        <v>475</v>
      </c>
      <c r="X64" s="44" t="s">
        <v>147</v>
      </c>
      <c r="Y64" s="44">
        <v>13</v>
      </c>
      <c r="Z64" s="44" t="s">
        <v>458</v>
      </c>
      <c r="AA64" s="69">
        <v>0.62875460562079877</v>
      </c>
    </row>
    <row r="65" spans="1:27" ht="13.8" x14ac:dyDescent="0.3">
      <c r="A65" s="45" t="s">
        <v>409</v>
      </c>
      <c r="B65" s="46" t="s">
        <v>178</v>
      </c>
      <c r="C65" s="46">
        <v>16</v>
      </c>
      <c r="D65" s="46" t="s">
        <v>410</v>
      </c>
      <c r="E65" s="61">
        <f t="shared" si="6"/>
        <v>0.97036252976978032</v>
      </c>
      <c r="F65" s="355"/>
      <c r="Q65" s="93" t="s">
        <v>356</v>
      </c>
      <c r="R65" s="94">
        <v>0.975461842272901</v>
      </c>
      <c r="S65" s="93" t="s">
        <v>208</v>
      </c>
      <c r="W65" s="37" t="s">
        <v>304</v>
      </c>
      <c r="X65" s="44" t="s">
        <v>147</v>
      </c>
      <c r="Y65" s="44">
        <v>13</v>
      </c>
      <c r="Z65" s="44" t="s">
        <v>305</v>
      </c>
      <c r="AA65" s="69">
        <v>0.62481029959532464</v>
      </c>
    </row>
    <row r="66" spans="1:27" ht="13.8" x14ac:dyDescent="0.3">
      <c r="A66" s="37" t="s">
        <v>434</v>
      </c>
      <c r="B66" s="47" t="s">
        <v>433</v>
      </c>
      <c r="C66" s="47"/>
      <c r="D66" s="44" t="s">
        <v>435</v>
      </c>
      <c r="E66" s="69">
        <f t="shared" si="6"/>
        <v>0.99609846555590886</v>
      </c>
      <c r="F66" s="5"/>
      <c r="Q66" s="93" t="s">
        <v>253</v>
      </c>
      <c r="R66" s="94">
        <v>0.91865112788863534</v>
      </c>
      <c r="S66" s="93" t="s">
        <v>208</v>
      </c>
      <c r="W66" s="37" t="s">
        <v>248</v>
      </c>
      <c r="X66" s="44" t="s">
        <v>146</v>
      </c>
      <c r="Y66" s="44">
        <v>14</v>
      </c>
      <c r="Z66" s="44" t="s">
        <v>249</v>
      </c>
      <c r="AA66" s="69">
        <v>0.61841824770837783</v>
      </c>
    </row>
    <row r="67" spans="1:27" ht="14.4" thickBot="1" x14ac:dyDescent="0.35">
      <c r="A67" s="53" t="s">
        <v>300</v>
      </c>
      <c r="B67" s="54" t="s">
        <v>433</v>
      </c>
      <c r="C67" s="54"/>
      <c r="D67" s="54" t="s">
        <v>301</v>
      </c>
      <c r="E67" s="63">
        <f t="shared" si="6"/>
        <v>0.98538704581358605</v>
      </c>
      <c r="F67" s="5"/>
      <c r="Q67" s="93" t="s">
        <v>365</v>
      </c>
      <c r="R67" s="94">
        <v>1</v>
      </c>
      <c r="S67" s="93" t="s">
        <v>208</v>
      </c>
      <c r="W67" s="37" t="s">
        <v>274</v>
      </c>
      <c r="X67" s="44" t="s">
        <v>146</v>
      </c>
      <c r="Y67" s="44">
        <v>14</v>
      </c>
      <c r="Z67" s="44" t="s">
        <v>275</v>
      </c>
      <c r="AA67" s="69">
        <v>0.58646630934150079</v>
      </c>
    </row>
    <row r="68" spans="1:27" ht="13.8" x14ac:dyDescent="0.3">
      <c r="A68" s="41" t="s">
        <v>316</v>
      </c>
      <c r="B68" s="43" t="s">
        <v>146</v>
      </c>
      <c r="C68" s="42">
        <f>AVERAGE(C7:C62)</f>
        <v>18.160714285714285</v>
      </c>
      <c r="D68" s="42"/>
      <c r="E68" s="42"/>
      <c r="F68" s="5"/>
      <c r="G68" s="122"/>
      <c r="Q68" s="93" t="s">
        <v>257</v>
      </c>
      <c r="R68" s="94">
        <v>0.94700000000000006</v>
      </c>
      <c r="S68" s="93" t="s">
        <v>208</v>
      </c>
      <c r="W68" s="37" t="s">
        <v>278</v>
      </c>
      <c r="X68" s="44" t="s">
        <v>147</v>
      </c>
      <c r="Y68" s="44">
        <v>13</v>
      </c>
      <c r="Z68" s="44" t="s">
        <v>279</v>
      </c>
      <c r="AA68" s="69">
        <v>0.57845507252191697</v>
      </c>
    </row>
    <row r="69" spans="1:27" ht="13.8" x14ac:dyDescent="0.3">
      <c r="A69" s="3"/>
      <c r="B69" s="3"/>
      <c r="F69" s="5"/>
      <c r="Q69" s="93"/>
      <c r="R69" s="94"/>
      <c r="S69" s="93"/>
      <c r="W69" s="37" t="s">
        <v>294</v>
      </c>
      <c r="X69" s="44" t="s">
        <v>146</v>
      </c>
      <c r="Y69" s="44">
        <v>14</v>
      </c>
      <c r="Z69" s="44" t="s">
        <v>295</v>
      </c>
      <c r="AA69" s="69">
        <v>0.5641445718679996</v>
      </c>
    </row>
    <row r="70" spans="1:27" ht="13.8" x14ac:dyDescent="0.3">
      <c r="A70" s="3"/>
      <c r="B70" s="3"/>
      <c r="F70" s="9"/>
      <c r="G70" s="122"/>
      <c r="Q70" s="93"/>
      <c r="R70" s="94"/>
      <c r="S70" s="93"/>
      <c r="W70" s="37" t="s">
        <v>245</v>
      </c>
      <c r="X70" s="44" t="s">
        <v>144</v>
      </c>
      <c r="Y70" s="44">
        <v>16</v>
      </c>
      <c r="Z70" s="44" t="s">
        <v>246</v>
      </c>
      <c r="AA70" s="69">
        <v>0.541533003736272</v>
      </c>
    </row>
    <row r="71" spans="1:27" ht="13.8" x14ac:dyDescent="0.3">
      <c r="A71" s="48" t="s">
        <v>317</v>
      </c>
      <c r="F71" s="9"/>
      <c r="Q71" s="49"/>
      <c r="R71" s="58"/>
      <c r="S71" s="49"/>
      <c r="W71" s="37" t="s">
        <v>284</v>
      </c>
      <c r="X71" s="44" t="s">
        <v>147</v>
      </c>
      <c r="Y71" s="44">
        <v>13</v>
      </c>
      <c r="Z71" s="44" t="s">
        <v>285</v>
      </c>
      <c r="AA71" s="69">
        <v>0.47637430521244206</v>
      </c>
    </row>
    <row r="72" spans="1:27" ht="13.8" x14ac:dyDescent="0.3">
      <c r="A72" s="48" t="s">
        <v>318</v>
      </c>
      <c r="B72" s="86"/>
      <c r="C72" s="86"/>
      <c r="D72" s="86"/>
      <c r="E72" s="86"/>
      <c r="F72" s="9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9">
        <v>0.36101059894989318</v>
      </c>
    </row>
    <row r="73" spans="1:27" ht="13.8" x14ac:dyDescent="0.3">
      <c r="A73" s="85" t="s">
        <v>429</v>
      </c>
      <c r="B73" s="86"/>
      <c r="C73" s="86"/>
      <c r="D73" s="86"/>
      <c r="E73" s="86"/>
      <c r="F73" s="87"/>
      <c r="Q73" s="49"/>
      <c r="R73" s="58"/>
      <c r="S73" s="49"/>
      <c r="W73" s="37" t="s">
        <v>473</v>
      </c>
      <c r="X73" s="44" t="s">
        <v>147</v>
      </c>
      <c r="Y73" s="44">
        <v>13</v>
      </c>
      <c r="Z73" s="44" t="s">
        <v>462</v>
      </c>
      <c r="AA73" s="69">
        <v>0.33305692234682915</v>
      </c>
    </row>
    <row r="74" spans="1:27" ht="14.4" thickBot="1" x14ac:dyDescent="0.35">
      <c r="A74" s="85" t="s">
        <v>319</v>
      </c>
      <c r="B74" s="86"/>
      <c r="C74" s="86"/>
      <c r="D74" s="86"/>
      <c r="E74" s="86"/>
      <c r="F74" s="87"/>
      <c r="Q74" s="49"/>
      <c r="R74" s="58"/>
      <c r="S74" s="49"/>
      <c r="W74" s="53" t="s">
        <v>381</v>
      </c>
      <c r="X74" s="57" t="s">
        <v>192</v>
      </c>
      <c r="Y74" s="57">
        <v>5</v>
      </c>
      <c r="Z74" s="57" t="s">
        <v>467</v>
      </c>
      <c r="AA74" s="111">
        <v>0.11951366732775717</v>
      </c>
    </row>
    <row r="75" spans="1:27" ht="13.8" x14ac:dyDescent="0.3">
      <c r="A75" s="85" t="s">
        <v>476</v>
      </c>
      <c r="D75" s="9"/>
      <c r="F75" s="87"/>
      <c r="Q75" s="49"/>
      <c r="R75" s="58"/>
      <c r="S75" s="49"/>
    </row>
    <row r="76" spans="1:27" ht="13.8" x14ac:dyDescent="0.3">
      <c r="A76" s="48" t="s">
        <v>320</v>
      </c>
      <c r="D76" s="9"/>
      <c r="Q76" s="49"/>
      <c r="R76" s="58"/>
      <c r="S76" s="49"/>
    </row>
    <row r="77" spans="1:27" ht="13.8" x14ac:dyDescent="0.3">
      <c r="A77" s="48"/>
      <c r="D77" s="9"/>
      <c r="Q77" s="49"/>
      <c r="R77" s="59"/>
      <c r="S77" s="49"/>
    </row>
    <row r="78" spans="1:27" x14ac:dyDescent="0.25">
      <c r="A78" s="48"/>
    </row>
    <row r="79" spans="1:27" x14ac:dyDescent="0.2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A80"/>
      <c r="B80"/>
      <c r="C80"/>
      <c r="D80"/>
      <c r="E80" s="74"/>
      <c r="F80"/>
      <c r="Q80"/>
      <c r="R80"/>
      <c r="S80"/>
      <c r="AA80" s="88"/>
    </row>
    <row r="81" spans="1:27" s="86" customFormat="1" x14ac:dyDescent="0.25">
      <c r="A81"/>
      <c r="B81"/>
      <c r="C81"/>
      <c r="D81"/>
      <c r="E81" s="75"/>
      <c r="F81"/>
      <c r="AA81" s="88"/>
    </row>
    <row r="82" spans="1:27" s="86" customFormat="1" x14ac:dyDescent="0.2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5">
      <c r="Q83" s="86"/>
      <c r="R83" s="86"/>
      <c r="S83" s="86"/>
      <c r="AA83"/>
    </row>
    <row r="84" spans="1:27" x14ac:dyDescent="0.25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2060"/>
    <pageSetUpPr fitToPage="1"/>
  </sheetPr>
  <dimension ref="A1:AH88"/>
  <sheetViews>
    <sheetView zoomScale="80" zoomScaleNormal="80" workbookViewId="0">
      <selection activeCell="A7" sqref="A7"/>
    </sheetView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477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444</v>
      </c>
      <c r="AA5" s="65" t="s">
        <v>444</v>
      </c>
      <c r="AF5" s="82" t="s">
        <v>445</v>
      </c>
      <c r="AG5" s="81"/>
    </row>
    <row r="6" spans="1:33" ht="13.8" x14ac:dyDescent="0.3">
      <c r="A6" s="101" t="s">
        <v>217</v>
      </c>
      <c r="B6" s="102" t="s">
        <v>478</v>
      </c>
      <c r="C6" s="103"/>
      <c r="D6" s="103"/>
      <c r="E6" s="104">
        <v>40543</v>
      </c>
      <c r="W6" s="101" t="s">
        <v>217</v>
      </c>
      <c r="X6" s="102" t="s">
        <v>478</v>
      </c>
      <c r="Y6" s="103"/>
      <c r="Z6" s="103"/>
      <c r="AA6" s="104">
        <v>40543</v>
      </c>
      <c r="AC6" s="67" t="s">
        <v>141</v>
      </c>
      <c r="AD6" s="68"/>
      <c r="AE6" s="68"/>
      <c r="AF6" s="42">
        <f>AVERAGE(Y$13:Y$51)</f>
        <v>14.45945945945946</v>
      </c>
      <c r="AG6" s="79"/>
    </row>
    <row r="7" spans="1:33" ht="14.4" thickBot="1" x14ac:dyDescent="0.35">
      <c r="A7" s="45" t="s">
        <v>441</v>
      </c>
      <c r="B7" s="46" t="s">
        <v>169</v>
      </c>
      <c r="C7" s="46">
        <v>18</v>
      </c>
      <c r="D7" s="46" t="s">
        <v>442</v>
      </c>
      <c r="E7" s="61">
        <f>VLOOKUP($D7,$Q$7:$R$68,2,0)</f>
        <v>1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0.84669359982989578</v>
      </c>
      <c r="S7" s="93" t="s">
        <v>208</v>
      </c>
      <c r="W7" s="113" t="s">
        <v>447</v>
      </c>
      <c r="X7" s="114" t="s">
        <v>144</v>
      </c>
      <c r="Y7" s="114">
        <v>16</v>
      </c>
      <c r="Z7" s="114" t="s">
        <v>448</v>
      </c>
      <c r="AA7" s="115" t="s">
        <v>433</v>
      </c>
      <c r="AC7" s="57" t="s">
        <v>215</v>
      </c>
      <c r="AD7" s="57" t="s">
        <v>139</v>
      </c>
      <c r="AE7" s="57" t="s">
        <v>140</v>
      </c>
      <c r="AG7" s="80"/>
    </row>
    <row r="8" spans="1:33" ht="13.8" x14ac:dyDescent="0.3">
      <c r="A8" s="37" t="s">
        <v>298</v>
      </c>
      <c r="B8" s="44" t="s">
        <v>171</v>
      </c>
      <c r="C8" s="44">
        <v>17</v>
      </c>
      <c r="D8" s="44" t="s">
        <v>299</v>
      </c>
      <c r="E8" s="60">
        <f t="shared" ref="E8:E14" si="0">VLOOKUP($D8,$Q$7:$R$68,2,0)</f>
        <v>0.92936836749527552</v>
      </c>
      <c r="F8" s="355"/>
      <c r="G8" s="37" t="s">
        <v>142</v>
      </c>
      <c r="H8" s="49">
        <f>COUNTIF(C$7:C$67,"&gt;16")</f>
        <v>4</v>
      </c>
      <c r="I8" s="50">
        <f>H8/H$14</f>
        <v>6.7796610169491525E-2</v>
      </c>
      <c r="K8" s="122"/>
      <c r="M8" s="49"/>
      <c r="N8" s="50"/>
      <c r="O8" s="122"/>
      <c r="Q8" s="93" t="s">
        <v>228</v>
      </c>
      <c r="R8" s="94">
        <v>0.96680210088197405</v>
      </c>
      <c r="S8" s="93" t="s">
        <v>208</v>
      </c>
      <c r="W8" s="37" t="s">
        <v>449</v>
      </c>
      <c r="X8" s="44" t="s">
        <v>144</v>
      </c>
      <c r="Y8" s="44">
        <v>16</v>
      </c>
      <c r="Z8" s="44" t="s">
        <v>450</v>
      </c>
      <c r="AA8" s="69" t="s">
        <v>433</v>
      </c>
      <c r="AC8" s="37" t="s">
        <v>142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8" x14ac:dyDescent="0.3">
      <c r="A9" s="45" t="s">
        <v>232</v>
      </c>
      <c r="B9" s="46" t="s">
        <v>144</v>
      </c>
      <c r="C9" s="46">
        <v>16</v>
      </c>
      <c r="D9" s="46" t="s">
        <v>233</v>
      </c>
      <c r="E9" s="61">
        <f t="shared" si="0"/>
        <v>0.89318320146074259</v>
      </c>
      <c r="F9" s="355"/>
      <c r="G9" s="37" t="s">
        <v>144</v>
      </c>
      <c r="H9" s="49">
        <f>COUNTIF(C$7:C$67,"=16")</f>
        <v>9</v>
      </c>
      <c r="I9" s="50">
        <f t="shared" ref="I9:I14" si="1">H9/H$14</f>
        <v>0.15254237288135594</v>
      </c>
      <c r="K9" s="122"/>
      <c r="M9" s="49"/>
      <c r="N9" s="50"/>
      <c r="O9" s="122"/>
      <c r="Q9" s="93" t="s">
        <v>451</v>
      </c>
      <c r="R9" s="94">
        <v>1</v>
      </c>
      <c r="S9" s="93" t="s">
        <v>208</v>
      </c>
      <c r="W9" s="37" t="s">
        <v>452</v>
      </c>
      <c r="X9" s="44" t="s">
        <v>145</v>
      </c>
      <c r="Y9" s="44">
        <v>15</v>
      </c>
      <c r="Z9" s="44" t="s">
        <v>453</v>
      </c>
      <c r="AA9" s="69" t="s">
        <v>433</v>
      </c>
      <c r="AC9" s="37" t="s">
        <v>144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ht="13.8" x14ac:dyDescent="0.3">
      <c r="A10" s="45" t="s">
        <v>371</v>
      </c>
      <c r="B10" s="46" t="s">
        <v>144</v>
      </c>
      <c r="C10" s="46">
        <v>16</v>
      </c>
      <c r="D10" s="46" t="s">
        <v>199</v>
      </c>
      <c r="E10" s="61">
        <f t="shared" si="0"/>
        <v>0.63157463237392464</v>
      </c>
      <c r="F10" s="355"/>
      <c r="G10" s="37" t="s">
        <v>145</v>
      </c>
      <c r="H10" s="49">
        <f>COUNTIF(C$7:C$67,"=15")</f>
        <v>15</v>
      </c>
      <c r="I10" s="50">
        <f t="shared" si="1"/>
        <v>0.25423728813559321</v>
      </c>
      <c r="K10" s="122"/>
      <c r="M10" s="49"/>
      <c r="N10" s="50"/>
      <c r="O10" s="122"/>
      <c r="Q10" s="93" t="s">
        <v>223</v>
      </c>
      <c r="R10" s="94">
        <v>0.91042888352305396</v>
      </c>
      <c r="S10" s="93" t="s">
        <v>208</v>
      </c>
      <c r="W10" s="37" t="s">
        <v>454</v>
      </c>
      <c r="X10" s="44" t="s">
        <v>145</v>
      </c>
      <c r="Y10" s="44">
        <v>15</v>
      </c>
      <c r="Z10" s="44" t="s">
        <v>455</v>
      </c>
      <c r="AA10" s="69" t="s">
        <v>433</v>
      </c>
      <c r="AC10" s="37" t="s">
        <v>145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ht="13.8" x14ac:dyDescent="0.3">
      <c r="A11" s="45" t="s">
        <v>264</v>
      </c>
      <c r="B11" s="46" t="s">
        <v>144</v>
      </c>
      <c r="C11" s="46">
        <v>16</v>
      </c>
      <c r="D11" s="46" t="s">
        <v>464</v>
      </c>
      <c r="E11" s="61">
        <f t="shared" si="0"/>
        <v>1</v>
      </c>
      <c r="F11" s="355"/>
      <c r="G11" s="37" t="s">
        <v>146</v>
      </c>
      <c r="H11" s="49">
        <f>COUNTIF(C$7:C$67,"=14")</f>
        <v>15</v>
      </c>
      <c r="I11" s="50">
        <f t="shared" si="1"/>
        <v>0.25423728813559321</v>
      </c>
      <c r="K11" s="122"/>
      <c r="M11" s="49"/>
      <c r="N11" s="50"/>
      <c r="O11" s="122"/>
      <c r="Q11" s="93" t="s">
        <v>244</v>
      </c>
      <c r="R11" s="94">
        <v>0.91095138568993894</v>
      </c>
      <c r="S11" s="93" t="s">
        <v>208</v>
      </c>
      <c r="W11" s="37" t="s">
        <v>456</v>
      </c>
      <c r="X11" s="44" t="s">
        <v>146</v>
      </c>
      <c r="Y11" s="44">
        <v>14</v>
      </c>
      <c r="Z11" s="44" t="s">
        <v>457</v>
      </c>
      <c r="AA11" s="69" t="s">
        <v>433</v>
      </c>
      <c r="AC11" s="37" t="s">
        <v>146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ht="13.8" x14ac:dyDescent="0.3">
      <c r="A12" s="45" t="s">
        <v>268</v>
      </c>
      <c r="B12" s="46" t="s">
        <v>144</v>
      </c>
      <c r="C12" s="46">
        <v>16</v>
      </c>
      <c r="D12" s="46" t="s">
        <v>269</v>
      </c>
      <c r="E12" s="61">
        <f t="shared" si="0"/>
        <v>0.76510407852428497</v>
      </c>
      <c r="F12" s="355"/>
      <c r="G12" s="37" t="s">
        <v>147</v>
      </c>
      <c r="H12" s="49">
        <f>COUNTIF(C$7:C$67,"=13")</f>
        <v>11</v>
      </c>
      <c r="I12" s="50">
        <f t="shared" si="1"/>
        <v>0.1864406779661017</v>
      </c>
      <c r="M12" s="49"/>
      <c r="N12" s="50"/>
      <c r="Q12" s="93" t="s">
        <v>458</v>
      </c>
      <c r="R12" s="94">
        <v>0.62875460562079877</v>
      </c>
      <c r="S12" s="93" t="s">
        <v>209</v>
      </c>
      <c r="W12" s="37" t="s">
        <v>459</v>
      </c>
      <c r="X12" s="44" t="s">
        <v>147</v>
      </c>
      <c r="Y12" s="44">
        <v>13</v>
      </c>
      <c r="Z12" s="44" t="s">
        <v>460</v>
      </c>
      <c r="AA12" s="69" t="s">
        <v>433</v>
      </c>
      <c r="AC12" s="37" t="s">
        <v>147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4.4" thickBot="1" x14ac:dyDescent="0.35">
      <c r="A13" s="45" t="s">
        <v>470</v>
      </c>
      <c r="B13" s="46" t="s">
        <v>144</v>
      </c>
      <c r="C13" s="46">
        <v>16</v>
      </c>
      <c r="D13" s="46" t="s">
        <v>465</v>
      </c>
      <c r="E13" s="61">
        <f t="shared" si="0"/>
        <v>0.96341849943457658</v>
      </c>
      <c r="F13" s="355"/>
      <c r="G13" s="53" t="s">
        <v>148</v>
      </c>
      <c r="H13" s="55">
        <f>COUNTIF(C$7:C$67,"&lt;13")</f>
        <v>5</v>
      </c>
      <c r="I13" s="56">
        <f t="shared" si="1"/>
        <v>8.4745762711864403E-2</v>
      </c>
      <c r="M13" s="49"/>
      <c r="N13" s="50"/>
      <c r="Q13" s="93" t="s">
        <v>251</v>
      </c>
      <c r="R13" s="94">
        <v>0.68875112521618576</v>
      </c>
      <c r="S13" s="93" t="s">
        <v>209</v>
      </c>
      <c r="W13" s="37" t="s">
        <v>362</v>
      </c>
      <c r="X13" s="44" t="s">
        <v>146</v>
      </c>
      <c r="Y13" s="44">
        <v>14</v>
      </c>
      <c r="Z13" s="44" t="s">
        <v>363</v>
      </c>
      <c r="AA13" s="69">
        <v>1.0379329114785329</v>
      </c>
      <c r="AC13" s="53" t="s">
        <v>148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8" x14ac:dyDescent="0.3">
      <c r="A14" s="45" t="s">
        <v>245</v>
      </c>
      <c r="B14" s="46" t="s">
        <v>144</v>
      </c>
      <c r="C14" s="46">
        <v>16</v>
      </c>
      <c r="D14" s="46" t="s">
        <v>246</v>
      </c>
      <c r="E14" s="61">
        <f t="shared" si="0"/>
        <v>0.541533003736272</v>
      </c>
      <c r="F14" s="355"/>
      <c r="G14" s="41" t="s">
        <v>149</v>
      </c>
      <c r="H14" s="51">
        <f>SUM(H8:H13)</f>
        <v>59</v>
      </c>
      <c r="I14" s="52">
        <f t="shared" si="1"/>
        <v>1</v>
      </c>
      <c r="M14" s="51"/>
      <c r="N14" s="52"/>
      <c r="Q14" s="93" t="s">
        <v>461</v>
      </c>
      <c r="R14" s="94">
        <v>0.76017780502759058</v>
      </c>
      <c r="S14" s="93" t="s">
        <v>209</v>
      </c>
      <c r="W14" s="37" t="s">
        <v>377</v>
      </c>
      <c r="X14" s="44" t="s">
        <v>147</v>
      </c>
      <c r="Y14" s="44">
        <v>13</v>
      </c>
      <c r="Z14" s="44" t="s">
        <v>378</v>
      </c>
      <c r="AA14" s="69">
        <v>1.0292149475019923</v>
      </c>
      <c r="AC14" s="41" t="s">
        <v>149</v>
      </c>
      <c r="AD14" s="51">
        <f>SUM(AD8:AD13)</f>
        <v>37</v>
      </c>
      <c r="AE14" s="52">
        <f t="shared" si="2"/>
        <v>1</v>
      </c>
      <c r="AG14" s="80"/>
    </row>
    <row r="15" spans="1:33" ht="13.8" x14ac:dyDescent="0.3">
      <c r="A15" s="45" t="s">
        <v>355</v>
      </c>
      <c r="B15" s="46" t="s">
        <v>144</v>
      </c>
      <c r="C15" s="46">
        <v>16</v>
      </c>
      <c r="D15" s="46" t="s">
        <v>356</v>
      </c>
      <c r="E15" s="61">
        <f t="shared" ref="E15:E46" si="3">VLOOKUP($D15,$Q$7:$R$68,2,0)</f>
        <v>0.975461842272901</v>
      </c>
      <c r="F15" s="355"/>
      <c r="K15" s="5"/>
      <c r="Q15" s="93" t="s">
        <v>462</v>
      </c>
      <c r="R15" s="94">
        <v>0.33305692234682915</v>
      </c>
      <c r="S15" s="93" t="s">
        <v>199</v>
      </c>
      <c r="W15" s="37" t="s">
        <v>441</v>
      </c>
      <c r="X15" s="44" t="s">
        <v>169</v>
      </c>
      <c r="Y15" s="44">
        <v>18</v>
      </c>
      <c r="Z15" s="44" t="s">
        <v>442</v>
      </c>
      <c r="AA15" s="69">
        <v>1</v>
      </c>
      <c r="AG15" s="80"/>
    </row>
    <row r="16" spans="1:33" ht="13.8" x14ac:dyDescent="0.3">
      <c r="A16" s="45" t="s">
        <v>252</v>
      </c>
      <c r="B16" s="46" t="s">
        <v>144</v>
      </c>
      <c r="C16" s="46">
        <v>16</v>
      </c>
      <c r="D16" s="46" t="s">
        <v>253</v>
      </c>
      <c r="E16" s="61">
        <f t="shared" si="3"/>
        <v>0.91865112788863534</v>
      </c>
      <c r="F16" s="355"/>
      <c r="K16" s="5"/>
      <c r="Q16" s="93" t="s">
        <v>463</v>
      </c>
      <c r="R16" s="94">
        <v>0.89001113183270453</v>
      </c>
      <c r="S16" s="93" t="s">
        <v>208</v>
      </c>
      <c r="W16" s="37" t="s">
        <v>264</v>
      </c>
      <c r="X16" s="44" t="s">
        <v>144</v>
      </c>
      <c r="Y16" s="44">
        <v>16</v>
      </c>
      <c r="Z16" s="44" t="s">
        <v>464</v>
      </c>
      <c r="AA16" s="69">
        <v>1</v>
      </c>
      <c r="AG16" s="80"/>
    </row>
    <row r="17" spans="1:33" ht="13.8" x14ac:dyDescent="0.3">
      <c r="A17" s="45" t="s">
        <v>256</v>
      </c>
      <c r="B17" s="46" t="s">
        <v>144</v>
      </c>
      <c r="C17" s="46">
        <v>16</v>
      </c>
      <c r="D17" s="46" t="s">
        <v>257</v>
      </c>
      <c r="E17" s="61">
        <f t="shared" si="3"/>
        <v>0.94700000000000006</v>
      </c>
      <c r="F17" s="355"/>
      <c r="K17" s="5"/>
      <c r="Q17" s="93" t="s">
        <v>262</v>
      </c>
      <c r="R17" s="94">
        <v>0.89235399590163933</v>
      </c>
      <c r="S17" s="93" t="s">
        <v>208</v>
      </c>
      <c r="W17" s="37" t="s">
        <v>338</v>
      </c>
      <c r="X17" s="44" t="s">
        <v>146</v>
      </c>
      <c r="Y17" s="44">
        <v>14</v>
      </c>
      <c r="Z17" s="44" t="s">
        <v>341</v>
      </c>
      <c r="AA17" s="69">
        <v>1</v>
      </c>
      <c r="AC17" s="67" t="s">
        <v>150</v>
      </c>
      <c r="AD17" s="68"/>
      <c r="AE17" s="68"/>
      <c r="AF17" s="42">
        <f>AVERAGE(Y$52:Y$70)</f>
        <v>14.578947368421053</v>
      </c>
      <c r="AG17" s="79"/>
    </row>
    <row r="18" spans="1:33" ht="14.4" thickBot="1" x14ac:dyDescent="0.35">
      <c r="A18" s="37" t="s">
        <v>222</v>
      </c>
      <c r="B18" s="44" t="s">
        <v>145</v>
      </c>
      <c r="C18" s="44">
        <v>15</v>
      </c>
      <c r="D18" s="44" t="s">
        <v>223</v>
      </c>
      <c r="E18" s="60">
        <f t="shared" si="3"/>
        <v>0.91042888352305396</v>
      </c>
      <c r="F18" s="355"/>
      <c r="K18" s="5"/>
      <c r="Q18" s="93" t="s">
        <v>388</v>
      </c>
      <c r="R18" s="94">
        <v>0.91199977892108686</v>
      </c>
      <c r="S18" s="93" t="s">
        <v>208</v>
      </c>
      <c r="W18" s="37" t="s">
        <v>290</v>
      </c>
      <c r="X18" s="44" t="s">
        <v>146</v>
      </c>
      <c r="Y18" s="44">
        <v>14</v>
      </c>
      <c r="Z18" s="44" t="s">
        <v>291</v>
      </c>
      <c r="AA18" s="69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3.8" x14ac:dyDescent="0.3">
      <c r="A19" s="37" t="s">
        <v>224</v>
      </c>
      <c r="B19" s="44" t="s">
        <v>145</v>
      </c>
      <c r="C19" s="44">
        <v>15</v>
      </c>
      <c r="D19" s="44" t="s">
        <v>225</v>
      </c>
      <c r="E19" s="60">
        <f t="shared" si="3"/>
        <v>0.86662573118314323</v>
      </c>
      <c r="F19" s="355"/>
      <c r="K19" s="5"/>
      <c r="Q19" s="93" t="s">
        <v>255</v>
      </c>
      <c r="R19" s="94">
        <v>0.71562826313957539</v>
      </c>
      <c r="S19" s="93" t="s">
        <v>209</v>
      </c>
      <c r="W19" s="37" t="s">
        <v>364</v>
      </c>
      <c r="X19" s="44" t="s">
        <v>146</v>
      </c>
      <c r="Y19" s="44">
        <v>14</v>
      </c>
      <c r="Z19" s="44" t="s">
        <v>365</v>
      </c>
      <c r="AA19" s="69">
        <v>1</v>
      </c>
      <c r="AC19" s="37" t="s">
        <v>142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8" x14ac:dyDescent="0.3">
      <c r="A20" s="37" t="s">
        <v>266</v>
      </c>
      <c r="B20" s="44" t="s">
        <v>145</v>
      </c>
      <c r="C20" s="44">
        <v>15</v>
      </c>
      <c r="D20" s="44" t="s">
        <v>267</v>
      </c>
      <c r="E20" s="69">
        <f t="shared" si="3"/>
        <v>0.81254016709511567</v>
      </c>
      <c r="F20" s="355"/>
      <c r="K20" s="5"/>
      <c r="Q20" s="93" t="s">
        <v>435</v>
      </c>
      <c r="R20" s="94">
        <v>0.99609846555590886</v>
      </c>
      <c r="S20" s="93" t="s">
        <v>208</v>
      </c>
      <c r="W20" s="37" t="s">
        <v>292</v>
      </c>
      <c r="X20" s="44" t="s">
        <v>147</v>
      </c>
      <c r="Y20" s="44">
        <v>13</v>
      </c>
      <c r="Z20" s="44" t="s">
        <v>451</v>
      </c>
      <c r="AA20" s="69">
        <v>1</v>
      </c>
      <c r="AC20" s="37" t="s">
        <v>144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8" x14ac:dyDescent="0.3">
      <c r="A21" s="37" t="s">
        <v>405</v>
      </c>
      <c r="B21" s="44" t="s">
        <v>145</v>
      </c>
      <c r="C21" s="44">
        <v>15</v>
      </c>
      <c r="D21" s="44" t="s">
        <v>406</v>
      </c>
      <c r="E21" s="60">
        <f t="shared" si="3"/>
        <v>0.83267459864721705</v>
      </c>
      <c r="F21" s="355"/>
      <c r="Q21" s="93" t="s">
        <v>199</v>
      </c>
      <c r="R21" s="94">
        <v>0.63157463237392464</v>
      </c>
      <c r="S21" s="93" t="s">
        <v>209</v>
      </c>
      <c r="W21" s="37" t="s">
        <v>306</v>
      </c>
      <c r="X21" s="44" t="s">
        <v>145</v>
      </c>
      <c r="Y21" s="44">
        <v>15</v>
      </c>
      <c r="Z21" s="44" t="s">
        <v>307</v>
      </c>
      <c r="AA21" s="69">
        <v>0.99967409016838671</v>
      </c>
      <c r="AC21" s="37" t="s">
        <v>145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8" x14ac:dyDescent="0.3">
      <c r="A22" s="37" t="s">
        <v>276</v>
      </c>
      <c r="B22" s="44" t="s">
        <v>145</v>
      </c>
      <c r="C22" s="44">
        <v>15</v>
      </c>
      <c r="D22" s="44" t="s">
        <v>277</v>
      </c>
      <c r="E22" s="60">
        <f t="shared" si="3"/>
        <v>0.36101059894989318</v>
      </c>
      <c r="F22" s="355"/>
      <c r="Q22" s="93" t="s">
        <v>464</v>
      </c>
      <c r="R22" s="94">
        <v>1</v>
      </c>
      <c r="S22" s="93" t="s">
        <v>208</v>
      </c>
      <c r="W22" s="37" t="s">
        <v>434</v>
      </c>
      <c r="X22" s="47" t="s">
        <v>433</v>
      </c>
      <c r="Y22" s="47"/>
      <c r="Z22" s="44" t="s">
        <v>435</v>
      </c>
      <c r="AA22" s="69">
        <v>0.99609846555590886</v>
      </c>
      <c r="AC22" s="37" t="s">
        <v>146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8" x14ac:dyDescent="0.3">
      <c r="A23" s="37" t="s">
        <v>418</v>
      </c>
      <c r="B23" s="44" t="s">
        <v>145</v>
      </c>
      <c r="C23" s="44">
        <v>15</v>
      </c>
      <c r="D23" s="44" t="s">
        <v>461</v>
      </c>
      <c r="E23" s="60">
        <f t="shared" si="3"/>
        <v>0.76017780502759058</v>
      </c>
      <c r="F23" s="355"/>
      <c r="Q23" s="93" t="s">
        <v>267</v>
      </c>
      <c r="R23" s="94">
        <v>0.81254016709511567</v>
      </c>
      <c r="S23" s="93" t="s">
        <v>208</v>
      </c>
      <c r="W23" s="37" t="s">
        <v>302</v>
      </c>
      <c r="X23" s="44" t="s">
        <v>146</v>
      </c>
      <c r="Y23" s="44">
        <v>14</v>
      </c>
      <c r="Z23" s="44" t="s">
        <v>303</v>
      </c>
      <c r="AA23" s="69">
        <v>0.99569209153466032</v>
      </c>
      <c r="AC23" s="37" t="s">
        <v>147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" thickBot="1" x14ac:dyDescent="0.35">
      <c r="A24" s="37" t="s">
        <v>404</v>
      </c>
      <c r="B24" s="44" t="s">
        <v>145</v>
      </c>
      <c r="C24" s="44">
        <v>15</v>
      </c>
      <c r="D24" s="44" t="s">
        <v>241</v>
      </c>
      <c r="E24" s="69">
        <f t="shared" si="3"/>
        <v>0.95294725244456668</v>
      </c>
      <c r="F24" s="355"/>
      <c r="Q24" s="93" t="s">
        <v>269</v>
      </c>
      <c r="R24" s="94">
        <v>0.76510407852428497</v>
      </c>
      <c r="S24" s="93" t="s">
        <v>209</v>
      </c>
      <c r="W24" s="37" t="s">
        <v>421</v>
      </c>
      <c r="X24" s="44" t="s">
        <v>178</v>
      </c>
      <c r="Y24" s="44">
        <v>12</v>
      </c>
      <c r="Z24" s="44" t="s">
        <v>422</v>
      </c>
      <c r="AA24" s="69">
        <v>0.99533285779852521</v>
      </c>
      <c r="AC24" s="53" t="s">
        <v>148</v>
      </c>
      <c r="AD24" s="55">
        <f>COUNTIF(Y$52:Y$70,"&lt;13")</f>
        <v>0</v>
      </c>
      <c r="AE24" s="56">
        <f t="shared" si="4"/>
        <v>0</v>
      </c>
      <c r="AG24" s="80"/>
    </row>
    <row r="25" spans="1:33" ht="13.8" x14ac:dyDescent="0.3">
      <c r="A25" s="37" t="s">
        <v>282</v>
      </c>
      <c r="B25" s="44" t="s">
        <v>145</v>
      </c>
      <c r="C25" s="44">
        <v>15</v>
      </c>
      <c r="D25" s="44" t="s">
        <v>283</v>
      </c>
      <c r="E25" s="60">
        <f t="shared" si="3"/>
        <v>0.76907329412838532</v>
      </c>
      <c r="F25" s="355"/>
      <c r="Q25" s="93" t="s">
        <v>465</v>
      </c>
      <c r="R25" s="94">
        <v>0.96341849943457658</v>
      </c>
      <c r="S25" s="93" t="s">
        <v>208</v>
      </c>
      <c r="W25" s="37" t="s">
        <v>310</v>
      </c>
      <c r="X25" s="44" t="s">
        <v>178</v>
      </c>
      <c r="Y25" s="44">
        <v>12</v>
      </c>
      <c r="Z25" s="44" t="s">
        <v>466</v>
      </c>
      <c r="AA25" s="69">
        <v>0.99461817608484948</v>
      </c>
      <c r="AC25" s="41" t="s">
        <v>149</v>
      </c>
      <c r="AD25" s="51">
        <f>SUM(AD19:AD24)</f>
        <v>19</v>
      </c>
      <c r="AE25" s="52">
        <f t="shared" si="4"/>
        <v>1</v>
      </c>
      <c r="AG25" s="80"/>
    </row>
    <row r="26" spans="1:33" ht="13.8" x14ac:dyDescent="0.3">
      <c r="A26" s="37" t="s">
        <v>392</v>
      </c>
      <c r="B26" s="44" t="s">
        <v>145</v>
      </c>
      <c r="C26" s="44">
        <v>15</v>
      </c>
      <c r="D26" s="44" t="s">
        <v>393</v>
      </c>
      <c r="E26" s="69">
        <f t="shared" si="3"/>
        <v>0.73349447513812149</v>
      </c>
      <c r="F26" s="355"/>
      <c r="Q26" s="93" t="s">
        <v>233</v>
      </c>
      <c r="R26" s="94">
        <v>0.89318320146074259</v>
      </c>
      <c r="S26" s="93" t="s">
        <v>208</v>
      </c>
      <c r="W26" s="37" t="s">
        <v>286</v>
      </c>
      <c r="X26" s="44" t="s">
        <v>146</v>
      </c>
      <c r="Y26" s="44">
        <v>14</v>
      </c>
      <c r="Z26" s="44" t="s">
        <v>287</v>
      </c>
      <c r="AA26" s="69">
        <v>0.99126425624848336</v>
      </c>
      <c r="AG26" s="80"/>
    </row>
    <row r="27" spans="1:33" ht="13.8" x14ac:dyDescent="0.3">
      <c r="A27" s="37" t="s">
        <v>306</v>
      </c>
      <c r="B27" s="44" t="s">
        <v>145</v>
      </c>
      <c r="C27" s="44">
        <v>15</v>
      </c>
      <c r="D27" s="44" t="s">
        <v>307</v>
      </c>
      <c r="E27" s="60">
        <f t="shared" si="3"/>
        <v>0.99967409016838671</v>
      </c>
      <c r="F27" s="355"/>
      <c r="Q27" s="93" t="s">
        <v>378</v>
      </c>
      <c r="R27" s="94">
        <v>1.0292149475019923</v>
      </c>
      <c r="S27" s="93" t="s">
        <v>208</v>
      </c>
      <c r="W27" s="37" t="s">
        <v>399</v>
      </c>
      <c r="X27" s="44" t="s">
        <v>146</v>
      </c>
      <c r="Y27" s="44">
        <v>14</v>
      </c>
      <c r="Z27" s="44" t="s">
        <v>400</v>
      </c>
      <c r="AA27" s="69">
        <v>0.98872477714287255</v>
      </c>
      <c r="AG27" s="80"/>
    </row>
    <row r="28" spans="1:33" ht="13.8" x14ac:dyDescent="0.3">
      <c r="A28" s="37" t="s">
        <v>248</v>
      </c>
      <c r="B28" s="44" t="s">
        <v>145</v>
      </c>
      <c r="C28" s="44">
        <v>15</v>
      </c>
      <c r="D28" s="44" t="s">
        <v>249</v>
      </c>
      <c r="E28" s="69">
        <f t="shared" si="3"/>
        <v>0.61841824770837783</v>
      </c>
      <c r="F28" s="355"/>
      <c r="Q28" s="93" t="s">
        <v>341</v>
      </c>
      <c r="R28" s="94">
        <v>1</v>
      </c>
      <c r="S28" s="93" t="s">
        <v>208</v>
      </c>
      <c r="W28" s="37" t="s">
        <v>300</v>
      </c>
      <c r="X28" s="47" t="s">
        <v>433</v>
      </c>
      <c r="Y28" s="47"/>
      <c r="Z28" s="47" t="s">
        <v>301</v>
      </c>
      <c r="AA28" s="62">
        <v>0.98538704581358605</v>
      </c>
      <c r="AC28" s="67" t="s">
        <v>152</v>
      </c>
      <c r="AD28" s="68"/>
      <c r="AE28" s="68"/>
      <c r="AF28" s="42">
        <f>AVERAGE(Y$71:Y$74)</f>
        <v>11.5</v>
      </c>
      <c r="AG28" s="79"/>
    </row>
    <row r="29" spans="1:33" ht="14.4" thickBot="1" x14ac:dyDescent="0.35">
      <c r="A29" s="37" t="s">
        <v>437</v>
      </c>
      <c r="B29" s="44" t="s">
        <v>145</v>
      </c>
      <c r="C29" s="44">
        <v>15</v>
      </c>
      <c r="D29" s="44" t="s">
        <v>438</v>
      </c>
      <c r="E29" s="60">
        <f t="shared" si="3"/>
        <v>0.85816623707026407</v>
      </c>
      <c r="F29" s="355"/>
      <c r="Q29" s="93" t="s">
        <v>467</v>
      </c>
      <c r="R29" s="94">
        <v>0.11951366732775717</v>
      </c>
      <c r="S29" s="93" t="s">
        <v>199</v>
      </c>
      <c r="W29" s="37" t="s">
        <v>288</v>
      </c>
      <c r="X29" s="44" t="s">
        <v>146</v>
      </c>
      <c r="Y29" s="44">
        <v>14</v>
      </c>
      <c r="Z29" s="44" t="s">
        <v>289</v>
      </c>
      <c r="AA29" s="69">
        <v>0.97697589100213744</v>
      </c>
      <c r="AC29" s="57" t="s">
        <v>215</v>
      </c>
      <c r="AD29" s="57" t="s">
        <v>139</v>
      </c>
      <c r="AE29" s="57" t="s">
        <v>140</v>
      </c>
    </row>
    <row r="30" spans="1:33" ht="13.8" x14ac:dyDescent="0.3">
      <c r="A30" s="37" t="s">
        <v>357</v>
      </c>
      <c r="B30" s="44" t="s">
        <v>145</v>
      </c>
      <c r="C30" s="44">
        <v>15</v>
      </c>
      <c r="D30" s="44" t="s">
        <v>358</v>
      </c>
      <c r="E30" s="60">
        <f t="shared" si="3"/>
        <v>0.77444478716841458</v>
      </c>
      <c r="F30" s="355"/>
      <c r="Q30" s="93" t="s">
        <v>271</v>
      </c>
      <c r="R30" s="94">
        <v>0.7886228860092247</v>
      </c>
      <c r="S30" s="93" t="s">
        <v>209</v>
      </c>
      <c r="W30" s="37" t="s">
        <v>355</v>
      </c>
      <c r="X30" s="44" t="s">
        <v>144</v>
      </c>
      <c r="Y30" s="44">
        <v>16</v>
      </c>
      <c r="Z30" s="44" t="s">
        <v>356</v>
      </c>
      <c r="AA30" s="69">
        <v>0.975461842272901</v>
      </c>
      <c r="AC30" s="37" t="s">
        <v>142</v>
      </c>
      <c r="AD30" s="49">
        <f>COUNTIF(Y$71:Y$74,"&gt;16")</f>
        <v>0</v>
      </c>
      <c r="AE30" s="50">
        <f>AD30/AD$36</f>
        <v>0</v>
      </c>
    </row>
    <row r="31" spans="1:33" ht="13.8" x14ac:dyDescent="0.3">
      <c r="A31" s="37" t="s">
        <v>296</v>
      </c>
      <c r="B31" s="44" t="s">
        <v>145</v>
      </c>
      <c r="C31" s="44">
        <v>15</v>
      </c>
      <c r="D31" s="44" t="s">
        <v>297</v>
      </c>
      <c r="E31" s="60">
        <f t="shared" si="3"/>
        <v>0.66251692368655679</v>
      </c>
      <c r="F31" s="355"/>
      <c r="K31" s="122"/>
      <c r="L31" s="122"/>
      <c r="Q31" s="93" t="s">
        <v>273</v>
      </c>
      <c r="R31" s="94">
        <v>0.80341264723043471</v>
      </c>
      <c r="S31" s="93" t="s">
        <v>208</v>
      </c>
      <c r="W31" s="37" t="s">
        <v>468</v>
      </c>
      <c r="X31" s="44" t="s">
        <v>178</v>
      </c>
      <c r="Y31" s="44">
        <v>12</v>
      </c>
      <c r="Z31" s="44" t="s">
        <v>469</v>
      </c>
      <c r="AA31" s="69">
        <v>0.97036252976978032</v>
      </c>
      <c r="AC31" s="37" t="s">
        <v>144</v>
      </c>
      <c r="AD31" s="49">
        <f>COUNTIF(Y$71:Y$74,"=16")</f>
        <v>0</v>
      </c>
      <c r="AE31" s="50">
        <f t="shared" ref="AE31:AE36" si="5">AD31/AD$36</f>
        <v>0</v>
      </c>
    </row>
    <row r="32" spans="1:33" ht="13.8" x14ac:dyDescent="0.3">
      <c r="A32" s="37" t="s">
        <v>379</v>
      </c>
      <c r="B32" s="44" t="s">
        <v>145</v>
      </c>
      <c r="C32" s="44">
        <v>15</v>
      </c>
      <c r="D32" s="44" t="s">
        <v>385</v>
      </c>
      <c r="E32" s="69">
        <f t="shared" si="3"/>
        <v>0.93843994106691131</v>
      </c>
      <c r="F32" s="355"/>
      <c r="L32" s="122"/>
      <c r="Q32" s="93" t="s">
        <v>275</v>
      </c>
      <c r="R32" s="94">
        <v>0.58646630934150079</v>
      </c>
      <c r="S32" s="93" t="s">
        <v>209</v>
      </c>
      <c r="W32" s="37" t="s">
        <v>227</v>
      </c>
      <c r="X32" s="44" t="s">
        <v>146</v>
      </c>
      <c r="Y32" s="44">
        <v>14</v>
      </c>
      <c r="Z32" s="44" t="s">
        <v>228</v>
      </c>
      <c r="AA32" s="69">
        <v>0.96680210088197405</v>
      </c>
      <c r="AC32" s="37" t="s">
        <v>145</v>
      </c>
      <c r="AD32" s="49">
        <f>COUNTIF(Y$71:Y$74,"=15")</f>
        <v>1</v>
      </c>
      <c r="AE32" s="50">
        <f t="shared" si="5"/>
        <v>0.25</v>
      </c>
    </row>
    <row r="33" spans="1:31" ht="13.8" x14ac:dyDescent="0.3">
      <c r="A33" s="45" t="s">
        <v>227</v>
      </c>
      <c r="B33" s="46" t="s">
        <v>146</v>
      </c>
      <c r="C33" s="46">
        <v>14</v>
      </c>
      <c r="D33" s="46" t="s">
        <v>228</v>
      </c>
      <c r="E33" s="61">
        <f t="shared" si="3"/>
        <v>0.96680210088197405</v>
      </c>
      <c r="F33" s="355"/>
      <c r="L33" s="122"/>
      <c r="Q33" s="93" t="s">
        <v>281</v>
      </c>
      <c r="R33" s="94">
        <v>0.64970550208303401</v>
      </c>
      <c r="S33" s="93" t="s">
        <v>209</v>
      </c>
      <c r="W33" s="37" t="s">
        <v>470</v>
      </c>
      <c r="X33" s="44" t="s">
        <v>144</v>
      </c>
      <c r="Y33" s="44">
        <v>16</v>
      </c>
      <c r="Z33" s="44" t="s">
        <v>465</v>
      </c>
      <c r="AA33" s="69">
        <v>0.96341849943457658</v>
      </c>
      <c r="AC33" s="37" t="s">
        <v>146</v>
      </c>
      <c r="AD33" s="49">
        <f>COUNTIF(Y$71:Y$74,"=14")</f>
        <v>0</v>
      </c>
      <c r="AE33" s="50">
        <f t="shared" si="5"/>
        <v>0</v>
      </c>
    </row>
    <row r="34" spans="1:31" ht="13.8" x14ac:dyDescent="0.3">
      <c r="A34" s="45" t="s">
        <v>243</v>
      </c>
      <c r="B34" s="46" t="s">
        <v>146</v>
      </c>
      <c r="C34" s="46">
        <v>14</v>
      </c>
      <c r="D34" s="46" t="s">
        <v>244</v>
      </c>
      <c r="E34" s="61">
        <f t="shared" si="3"/>
        <v>0.91095138568993894</v>
      </c>
      <c r="F34" s="355"/>
      <c r="L34" s="122"/>
      <c r="Q34" s="93" t="s">
        <v>363</v>
      </c>
      <c r="R34" s="94">
        <v>1.0379329114785329</v>
      </c>
      <c r="S34" s="93" t="s">
        <v>208</v>
      </c>
      <c r="W34" s="37" t="s">
        <v>404</v>
      </c>
      <c r="X34" s="44" t="s">
        <v>145</v>
      </c>
      <c r="Y34" s="44">
        <v>15</v>
      </c>
      <c r="Z34" s="44" t="s">
        <v>241</v>
      </c>
      <c r="AA34" s="69">
        <v>0.95294725244456668</v>
      </c>
      <c r="AC34" s="37" t="s">
        <v>147</v>
      </c>
      <c r="AD34" s="49">
        <f>COUNTIF(Y$71:Y$74,"=13")</f>
        <v>2</v>
      </c>
      <c r="AE34" s="50">
        <f t="shared" si="5"/>
        <v>0.5</v>
      </c>
    </row>
    <row r="35" spans="1:31" ht="14.4" thickBot="1" x14ac:dyDescent="0.35">
      <c r="A35" s="45" t="s">
        <v>254</v>
      </c>
      <c r="B35" s="46" t="s">
        <v>146</v>
      </c>
      <c r="C35" s="46">
        <v>14</v>
      </c>
      <c r="D35" s="46" t="s">
        <v>255</v>
      </c>
      <c r="E35" s="61">
        <f t="shared" si="3"/>
        <v>0.71562826313957539</v>
      </c>
      <c r="F35" s="355"/>
      <c r="G35" s="49" t="s">
        <v>383</v>
      </c>
      <c r="L35" s="122"/>
      <c r="Q35" s="93" t="s">
        <v>285</v>
      </c>
      <c r="R35" s="94">
        <v>0.47637430521244206</v>
      </c>
      <c r="S35" s="93" t="s">
        <v>199</v>
      </c>
      <c r="W35" s="37" t="s">
        <v>256</v>
      </c>
      <c r="X35" s="44" t="s">
        <v>144</v>
      </c>
      <c r="Y35" s="44">
        <v>16</v>
      </c>
      <c r="Z35" s="44" t="s">
        <v>257</v>
      </c>
      <c r="AA35" s="69">
        <v>0.94700000000000006</v>
      </c>
      <c r="AC35" s="53" t="s">
        <v>148</v>
      </c>
      <c r="AD35" s="55">
        <f>COUNTIF(Y$71:Y$74,"&lt;13")</f>
        <v>1</v>
      </c>
      <c r="AE35" s="56">
        <f t="shared" si="5"/>
        <v>0.25</v>
      </c>
    </row>
    <row r="36" spans="1:31" ht="13.8" x14ac:dyDescent="0.3">
      <c r="A36" s="45" t="s">
        <v>259</v>
      </c>
      <c r="B36" s="46" t="s">
        <v>146</v>
      </c>
      <c r="C36" s="46">
        <v>14</v>
      </c>
      <c r="D36" s="46" t="s">
        <v>388</v>
      </c>
      <c r="E36" s="61">
        <f t="shared" si="3"/>
        <v>0.91199977892108686</v>
      </c>
      <c r="F36" s="355"/>
      <c r="G36" s="92"/>
      <c r="H36" s="7"/>
      <c r="I36" s="7"/>
      <c r="L36" s="122"/>
      <c r="Q36" s="93" t="s">
        <v>289</v>
      </c>
      <c r="R36" s="94">
        <v>0.97697589100213744</v>
      </c>
      <c r="S36" s="93" t="s">
        <v>208</v>
      </c>
      <c r="W36" s="37" t="s">
        <v>379</v>
      </c>
      <c r="X36" s="44" t="s">
        <v>145</v>
      </c>
      <c r="Y36" s="44">
        <v>15</v>
      </c>
      <c r="Z36" s="44" t="s">
        <v>385</v>
      </c>
      <c r="AA36" s="69">
        <v>0.93843994106691131</v>
      </c>
      <c r="AC36" s="41" t="s">
        <v>149</v>
      </c>
      <c r="AD36" s="51">
        <f>SUM(AD30:AD35)</f>
        <v>4</v>
      </c>
      <c r="AE36" s="52">
        <f t="shared" si="5"/>
        <v>1</v>
      </c>
    </row>
    <row r="37" spans="1:31" ht="13.8" x14ac:dyDescent="0.3">
      <c r="A37" s="45" t="s">
        <v>338</v>
      </c>
      <c r="B37" s="46" t="s">
        <v>146</v>
      </c>
      <c r="C37" s="46">
        <v>14</v>
      </c>
      <c r="D37" s="46" t="s">
        <v>341</v>
      </c>
      <c r="E37" s="61">
        <f t="shared" si="3"/>
        <v>1</v>
      </c>
      <c r="F37" s="355"/>
      <c r="H37" s="5"/>
      <c r="J37" s="7"/>
      <c r="Q37" s="93" t="s">
        <v>225</v>
      </c>
      <c r="R37" s="94">
        <v>0.86662573118314323</v>
      </c>
      <c r="S37" s="93" t="s">
        <v>208</v>
      </c>
      <c r="W37" s="37" t="s">
        <v>308</v>
      </c>
      <c r="X37" s="44" t="s">
        <v>180</v>
      </c>
      <c r="Y37" s="44">
        <v>11</v>
      </c>
      <c r="Z37" s="44" t="s">
        <v>309</v>
      </c>
      <c r="AA37" s="69">
        <v>0.93520619672453054</v>
      </c>
    </row>
    <row r="38" spans="1:31" ht="13.8" x14ac:dyDescent="0.3">
      <c r="A38" s="45" t="s">
        <v>272</v>
      </c>
      <c r="B38" s="46" t="s">
        <v>146</v>
      </c>
      <c r="C38" s="46">
        <v>14</v>
      </c>
      <c r="D38" s="46" t="s">
        <v>273</v>
      </c>
      <c r="E38" s="61">
        <f t="shared" si="3"/>
        <v>0.80341264723043471</v>
      </c>
      <c r="F38" s="355"/>
      <c r="H38" s="5"/>
      <c r="J38" s="8"/>
      <c r="Q38" s="93" t="s">
        <v>277</v>
      </c>
      <c r="R38" s="94">
        <v>0.36101059894989318</v>
      </c>
      <c r="S38" s="93" t="s">
        <v>199</v>
      </c>
      <c r="W38" s="37" t="s">
        <v>298</v>
      </c>
      <c r="X38" s="44" t="s">
        <v>171</v>
      </c>
      <c r="Y38" s="44">
        <v>17</v>
      </c>
      <c r="Z38" s="44" t="s">
        <v>299</v>
      </c>
      <c r="AA38" s="69">
        <v>0.92936836749527552</v>
      </c>
    </row>
    <row r="39" spans="1:31" ht="13.8" x14ac:dyDescent="0.3">
      <c r="A39" s="45" t="s">
        <v>274</v>
      </c>
      <c r="B39" s="46" t="s">
        <v>146</v>
      </c>
      <c r="C39" s="46">
        <v>14</v>
      </c>
      <c r="D39" s="46" t="s">
        <v>275</v>
      </c>
      <c r="E39" s="61">
        <f t="shared" si="3"/>
        <v>0.58646630934150079</v>
      </c>
      <c r="F39" s="355"/>
      <c r="H39" s="5"/>
      <c r="J39" s="8"/>
      <c r="Q39" s="93" t="s">
        <v>471</v>
      </c>
      <c r="R39" s="94">
        <v>0.78418126509511765</v>
      </c>
      <c r="S39" s="93" t="s">
        <v>209</v>
      </c>
      <c r="W39" s="37" t="s">
        <v>252</v>
      </c>
      <c r="X39" s="44" t="s">
        <v>144</v>
      </c>
      <c r="Y39" s="44">
        <v>16</v>
      </c>
      <c r="Z39" s="44" t="s">
        <v>253</v>
      </c>
      <c r="AA39" s="69">
        <v>0.91865112788863534</v>
      </c>
    </row>
    <row r="40" spans="1:31" ht="13.8" x14ac:dyDescent="0.3">
      <c r="A40" s="45" t="s">
        <v>362</v>
      </c>
      <c r="B40" s="46" t="s">
        <v>146</v>
      </c>
      <c r="C40" s="46">
        <v>14</v>
      </c>
      <c r="D40" s="46" t="s">
        <v>363</v>
      </c>
      <c r="E40" s="61">
        <f t="shared" si="3"/>
        <v>1.0379329114785329</v>
      </c>
      <c r="F40" s="355"/>
      <c r="H40" s="5"/>
      <c r="J40" s="8"/>
      <c r="Q40" s="93" t="s">
        <v>246</v>
      </c>
      <c r="R40" s="94">
        <v>0.541533003736272</v>
      </c>
      <c r="S40" s="93" t="s">
        <v>209</v>
      </c>
      <c r="W40" s="37" t="s">
        <v>259</v>
      </c>
      <c r="X40" s="44" t="s">
        <v>146</v>
      </c>
      <c r="Y40" s="44">
        <v>14</v>
      </c>
      <c r="Z40" s="44" t="s">
        <v>388</v>
      </c>
      <c r="AA40" s="69">
        <v>0.91199977892108686</v>
      </c>
    </row>
    <row r="41" spans="1:31" ht="13.8" x14ac:dyDescent="0.3">
      <c r="A41" s="45" t="s">
        <v>288</v>
      </c>
      <c r="B41" s="46" t="s">
        <v>146</v>
      </c>
      <c r="C41" s="46">
        <v>14</v>
      </c>
      <c r="D41" s="46" t="s">
        <v>289</v>
      </c>
      <c r="E41" s="61">
        <f t="shared" si="3"/>
        <v>0.97697589100213744</v>
      </c>
      <c r="F41" s="355"/>
      <c r="H41" s="5"/>
      <c r="J41" s="8"/>
      <c r="Q41" s="93" t="s">
        <v>279</v>
      </c>
      <c r="R41" s="94">
        <v>0.57845507252191697</v>
      </c>
      <c r="S41" s="93" t="s">
        <v>209</v>
      </c>
      <c r="W41" s="37" t="s">
        <v>243</v>
      </c>
      <c r="X41" s="44" t="s">
        <v>146</v>
      </c>
      <c r="Y41" s="44">
        <v>14</v>
      </c>
      <c r="Z41" s="44" t="s">
        <v>244</v>
      </c>
      <c r="AA41" s="69">
        <v>0.91095138568993894</v>
      </c>
    </row>
    <row r="42" spans="1:31" ht="13.8" x14ac:dyDescent="0.3">
      <c r="A42" s="45" t="s">
        <v>302</v>
      </c>
      <c r="B42" s="46" t="s">
        <v>146</v>
      </c>
      <c r="C42" s="46">
        <v>14</v>
      </c>
      <c r="D42" s="46" t="s">
        <v>303</v>
      </c>
      <c r="E42" s="61">
        <f t="shared" si="3"/>
        <v>0.99569209153466032</v>
      </c>
      <c r="F42" s="355"/>
      <c r="H42" s="5"/>
      <c r="J42" s="8"/>
      <c r="Q42" s="93" t="s">
        <v>442</v>
      </c>
      <c r="R42" s="94">
        <v>1</v>
      </c>
      <c r="S42" s="93" t="s">
        <v>208</v>
      </c>
      <c r="W42" s="37" t="s">
        <v>222</v>
      </c>
      <c r="X42" s="44" t="s">
        <v>145</v>
      </c>
      <c r="Y42" s="44">
        <v>15</v>
      </c>
      <c r="Z42" s="44" t="s">
        <v>223</v>
      </c>
      <c r="AA42" s="69">
        <v>0.91042888352305396</v>
      </c>
    </row>
    <row r="43" spans="1:31" ht="13.8" x14ac:dyDescent="0.3">
      <c r="A43" s="45" t="s">
        <v>286</v>
      </c>
      <c r="B43" s="46" t="s">
        <v>146</v>
      </c>
      <c r="C43" s="46">
        <v>14</v>
      </c>
      <c r="D43" s="46" t="s">
        <v>287</v>
      </c>
      <c r="E43" s="61">
        <f t="shared" si="3"/>
        <v>0.99126425624848336</v>
      </c>
      <c r="F43" s="355"/>
      <c r="Q43" s="93" t="s">
        <v>241</v>
      </c>
      <c r="R43" s="94">
        <v>0.95294725244456668</v>
      </c>
      <c r="S43" s="93" t="s">
        <v>208</v>
      </c>
      <c r="W43" s="37" t="s">
        <v>232</v>
      </c>
      <c r="X43" s="44" t="s">
        <v>144</v>
      </c>
      <c r="Y43" s="44">
        <v>16</v>
      </c>
      <c r="Z43" s="44" t="s">
        <v>233</v>
      </c>
      <c r="AA43" s="69">
        <v>0.89318320146074259</v>
      </c>
    </row>
    <row r="44" spans="1:31" ht="13.8" x14ac:dyDescent="0.3">
      <c r="A44" s="45" t="s">
        <v>290</v>
      </c>
      <c r="B44" s="46" t="s">
        <v>146</v>
      </c>
      <c r="C44" s="46">
        <v>14</v>
      </c>
      <c r="D44" s="46" t="s">
        <v>291</v>
      </c>
      <c r="E44" s="61">
        <f t="shared" si="3"/>
        <v>1</v>
      </c>
      <c r="F44" s="355"/>
      <c r="Q44" s="93" t="s">
        <v>422</v>
      </c>
      <c r="R44" s="94">
        <v>0.99533285779852521</v>
      </c>
      <c r="S44" s="93" t="s">
        <v>208</v>
      </c>
      <c r="W44" s="37" t="s">
        <v>261</v>
      </c>
      <c r="X44" s="44" t="s">
        <v>147</v>
      </c>
      <c r="Y44" s="44">
        <v>13</v>
      </c>
      <c r="Z44" s="44" t="s">
        <v>262</v>
      </c>
      <c r="AA44" s="69">
        <v>0.89235399590163933</v>
      </c>
    </row>
    <row r="45" spans="1:31" ht="13.8" x14ac:dyDescent="0.3">
      <c r="A45" s="45" t="s">
        <v>294</v>
      </c>
      <c r="B45" s="46" t="s">
        <v>146</v>
      </c>
      <c r="C45" s="46">
        <v>14</v>
      </c>
      <c r="D45" s="46" t="s">
        <v>295</v>
      </c>
      <c r="E45" s="61">
        <f t="shared" si="3"/>
        <v>0.5641445718679996</v>
      </c>
      <c r="F45" s="355"/>
      <c r="Q45" s="93" t="s">
        <v>303</v>
      </c>
      <c r="R45" s="94">
        <v>0.99569209153466032</v>
      </c>
      <c r="S45" s="93" t="s">
        <v>208</v>
      </c>
      <c r="W45" s="37" t="s">
        <v>472</v>
      </c>
      <c r="X45" s="44" t="s">
        <v>171</v>
      </c>
      <c r="Y45" s="44">
        <v>17</v>
      </c>
      <c r="Z45" s="44" t="s">
        <v>463</v>
      </c>
      <c r="AA45" s="69">
        <v>0.89001113183270453</v>
      </c>
    </row>
    <row r="46" spans="1:31" ht="13.8" x14ac:dyDescent="0.3">
      <c r="A46" s="45" t="s">
        <v>399</v>
      </c>
      <c r="B46" s="46" t="s">
        <v>146</v>
      </c>
      <c r="C46" s="46">
        <v>14</v>
      </c>
      <c r="D46" s="46" t="s">
        <v>400</v>
      </c>
      <c r="E46" s="61">
        <f t="shared" si="3"/>
        <v>0.98872477714287255</v>
      </c>
      <c r="F46" s="355"/>
      <c r="G46" s="122"/>
      <c r="J46" s="122"/>
      <c r="Q46" s="93" t="s">
        <v>283</v>
      </c>
      <c r="R46" s="94">
        <v>0.76907329412838532</v>
      </c>
      <c r="S46" s="93" t="s">
        <v>209</v>
      </c>
      <c r="W46" s="37" t="s">
        <v>224</v>
      </c>
      <c r="X46" s="44" t="s">
        <v>145</v>
      </c>
      <c r="Y46" s="44">
        <v>15</v>
      </c>
      <c r="Z46" s="44" t="s">
        <v>225</v>
      </c>
      <c r="AA46" s="69">
        <v>0.86662573118314323</v>
      </c>
    </row>
    <row r="47" spans="1:31" ht="13.8" x14ac:dyDescent="0.3">
      <c r="A47" s="45" t="s">
        <v>364</v>
      </c>
      <c r="B47" s="46" t="s">
        <v>146</v>
      </c>
      <c r="C47" s="46">
        <v>14</v>
      </c>
      <c r="D47" s="46" t="s">
        <v>365</v>
      </c>
      <c r="E47" s="61">
        <f t="shared" ref="E47:E67" si="6">VLOOKUP($D47,$Q$7:$R$68,2,0)</f>
        <v>1</v>
      </c>
      <c r="F47" s="355"/>
      <c r="G47" s="122"/>
      <c r="I47" s="122"/>
      <c r="J47" s="122"/>
      <c r="Q47" s="93" t="s">
        <v>305</v>
      </c>
      <c r="R47" s="94">
        <v>0.62481029959532464</v>
      </c>
      <c r="S47" s="93" t="s">
        <v>209</v>
      </c>
      <c r="W47" s="37" t="s">
        <v>437</v>
      </c>
      <c r="X47" s="44" t="s">
        <v>145</v>
      </c>
      <c r="Y47" s="44">
        <v>15</v>
      </c>
      <c r="Z47" s="44" t="s">
        <v>438</v>
      </c>
      <c r="AA47" s="69">
        <v>0.85816623707026407</v>
      </c>
    </row>
    <row r="48" spans="1:31" ht="13.8" x14ac:dyDescent="0.3">
      <c r="A48" s="37" t="s">
        <v>230</v>
      </c>
      <c r="B48" s="44" t="s">
        <v>147</v>
      </c>
      <c r="C48" s="44">
        <v>13</v>
      </c>
      <c r="D48" s="44" t="s">
        <v>231</v>
      </c>
      <c r="E48" s="60">
        <f t="shared" si="6"/>
        <v>0.84669359982989578</v>
      </c>
      <c r="F48" s="355"/>
      <c r="G48" s="122"/>
      <c r="I48" s="122"/>
      <c r="J48" s="122"/>
      <c r="Q48" s="93" t="s">
        <v>307</v>
      </c>
      <c r="R48" s="94">
        <v>0.99967409016838671</v>
      </c>
      <c r="S48" s="93" t="s">
        <v>208</v>
      </c>
      <c r="W48" s="37" t="s">
        <v>230</v>
      </c>
      <c r="X48" s="44" t="s">
        <v>147</v>
      </c>
      <c r="Y48" s="44">
        <v>13</v>
      </c>
      <c r="Z48" s="44" t="s">
        <v>231</v>
      </c>
      <c r="AA48" s="69">
        <v>0.84669359982989578</v>
      </c>
    </row>
    <row r="49" spans="1:27" ht="13.8" x14ac:dyDescent="0.3">
      <c r="A49" s="37" t="s">
        <v>250</v>
      </c>
      <c r="B49" s="44" t="s">
        <v>147</v>
      </c>
      <c r="C49" s="44">
        <v>13</v>
      </c>
      <c r="D49" s="44" t="s">
        <v>251</v>
      </c>
      <c r="E49" s="60">
        <f t="shared" si="6"/>
        <v>0.68875112521618576</v>
      </c>
      <c r="F49" s="355"/>
      <c r="G49" s="122"/>
      <c r="I49" s="122"/>
      <c r="J49" s="122"/>
      <c r="Q49" s="93" t="s">
        <v>295</v>
      </c>
      <c r="R49" s="94">
        <v>0.5641445718679996</v>
      </c>
      <c r="S49" s="93" t="s">
        <v>209</v>
      </c>
      <c r="W49" s="37" t="s">
        <v>405</v>
      </c>
      <c r="X49" s="44" t="s">
        <v>145</v>
      </c>
      <c r="Y49" s="44">
        <v>15</v>
      </c>
      <c r="Z49" s="44" t="s">
        <v>406</v>
      </c>
      <c r="AA49" s="69">
        <v>0.83267459864721705</v>
      </c>
    </row>
    <row r="50" spans="1:27" ht="13.8" x14ac:dyDescent="0.3">
      <c r="A50" s="37" t="s">
        <v>261</v>
      </c>
      <c r="B50" s="44" t="s">
        <v>147</v>
      </c>
      <c r="C50" s="44">
        <v>13</v>
      </c>
      <c r="D50" s="44" t="s">
        <v>262</v>
      </c>
      <c r="E50" s="60">
        <f t="shared" si="6"/>
        <v>0.89235399590163933</v>
      </c>
      <c r="F50" s="355"/>
      <c r="G50" s="122"/>
      <c r="I50" s="122"/>
      <c r="J50" s="122"/>
      <c r="Q50" s="93" t="s">
        <v>438</v>
      </c>
      <c r="R50" s="94">
        <v>0.85816623707026407</v>
      </c>
      <c r="S50" s="93" t="s">
        <v>208</v>
      </c>
      <c r="W50" s="37" t="s">
        <v>266</v>
      </c>
      <c r="X50" s="44" t="s">
        <v>145</v>
      </c>
      <c r="Y50" s="44">
        <v>15</v>
      </c>
      <c r="Z50" s="44" t="s">
        <v>267</v>
      </c>
      <c r="AA50" s="69">
        <v>0.81254016709511567</v>
      </c>
    </row>
    <row r="51" spans="1:27" ht="13.8" x14ac:dyDescent="0.3">
      <c r="A51" s="37" t="s">
        <v>473</v>
      </c>
      <c r="B51" s="44" t="s">
        <v>147</v>
      </c>
      <c r="C51" s="44">
        <v>13</v>
      </c>
      <c r="D51" s="44" t="s">
        <v>462</v>
      </c>
      <c r="E51" s="69">
        <f t="shared" si="6"/>
        <v>0.33305692234682915</v>
      </c>
      <c r="F51" s="355"/>
      <c r="I51" s="122"/>
      <c r="J51" s="122"/>
      <c r="Q51" s="93" t="s">
        <v>309</v>
      </c>
      <c r="R51" s="94">
        <v>0.93520619672453054</v>
      </c>
      <c r="S51" s="93" t="s">
        <v>208</v>
      </c>
      <c r="W51" s="37" t="s">
        <v>272</v>
      </c>
      <c r="X51" s="44" t="s">
        <v>146</v>
      </c>
      <c r="Y51" s="44">
        <v>14</v>
      </c>
      <c r="Z51" s="44" t="s">
        <v>273</v>
      </c>
      <c r="AA51" s="69">
        <v>0.80341264723043471</v>
      </c>
    </row>
    <row r="52" spans="1:27" ht="13.8" x14ac:dyDescent="0.3">
      <c r="A52" s="37" t="s">
        <v>270</v>
      </c>
      <c r="B52" s="44" t="s">
        <v>147</v>
      </c>
      <c r="C52" s="44">
        <v>13</v>
      </c>
      <c r="D52" s="44" t="s">
        <v>271</v>
      </c>
      <c r="E52" s="60">
        <f t="shared" si="6"/>
        <v>0.7886228860092247</v>
      </c>
      <c r="F52" s="355"/>
      <c r="Q52" s="93" t="s">
        <v>287</v>
      </c>
      <c r="R52" s="94">
        <v>0.99126425624848336</v>
      </c>
      <c r="S52" s="93" t="s">
        <v>208</v>
      </c>
      <c r="W52" s="37" t="s">
        <v>270</v>
      </c>
      <c r="X52" s="44" t="s">
        <v>147</v>
      </c>
      <c r="Y52" s="44">
        <v>13</v>
      </c>
      <c r="Z52" s="44" t="s">
        <v>271</v>
      </c>
      <c r="AA52" s="69">
        <v>0.7886228860092247</v>
      </c>
    </row>
    <row r="53" spans="1:27" ht="13.8" x14ac:dyDescent="0.3">
      <c r="A53" s="37" t="s">
        <v>377</v>
      </c>
      <c r="B53" s="44" t="s">
        <v>147</v>
      </c>
      <c r="C53" s="44">
        <v>13</v>
      </c>
      <c r="D53" s="44" t="s">
        <v>378</v>
      </c>
      <c r="E53" s="60">
        <f t="shared" si="6"/>
        <v>1.0292149475019923</v>
      </c>
      <c r="F53" s="355"/>
      <c r="Q53" s="93" t="s">
        <v>393</v>
      </c>
      <c r="R53" s="94">
        <v>0.73349447513812149</v>
      </c>
      <c r="S53" s="93" t="s">
        <v>209</v>
      </c>
      <c r="W53" s="37" t="s">
        <v>474</v>
      </c>
      <c r="X53" s="44" t="s">
        <v>167</v>
      </c>
      <c r="Y53" s="44">
        <v>19</v>
      </c>
      <c r="Z53" s="44" t="s">
        <v>471</v>
      </c>
      <c r="AA53" s="69">
        <v>0.78418126509511765</v>
      </c>
    </row>
    <row r="54" spans="1:27" ht="13.8" x14ac:dyDescent="0.3">
      <c r="A54" s="37" t="s">
        <v>280</v>
      </c>
      <c r="B54" s="44" t="s">
        <v>147</v>
      </c>
      <c r="C54" s="44">
        <v>13</v>
      </c>
      <c r="D54" s="44" t="s">
        <v>281</v>
      </c>
      <c r="E54" s="60">
        <f t="shared" si="6"/>
        <v>0.64970550208303401</v>
      </c>
      <c r="F54" s="355"/>
      <c r="Q54" s="93" t="s">
        <v>291</v>
      </c>
      <c r="R54" s="94">
        <v>1</v>
      </c>
      <c r="S54" s="93" t="s">
        <v>208</v>
      </c>
      <c r="W54" s="37" t="s">
        <v>357</v>
      </c>
      <c r="X54" s="44" t="s">
        <v>145</v>
      </c>
      <c r="Y54" s="44">
        <v>15</v>
      </c>
      <c r="Z54" s="44" t="s">
        <v>358</v>
      </c>
      <c r="AA54" s="69">
        <v>0.77444478716841458</v>
      </c>
    </row>
    <row r="55" spans="1:27" ht="13.8" x14ac:dyDescent="0.3">
      <c r="A55" s="37" t="s">
        <v>284</v>
      </c>
      <c r="B55" s="44" t="s">
        <v>147</v>
      </c>
      <c r="C55" s="44">
        <v>13</v>
      </c>
      <c r="D55" s="44" t="s">
        <v>285</v>
      </c>
      <c r="E55" s="69">
        <f t="shared" si="6"/>
        <v>0.47637430521244206</v>
      </c>
      <c r="F55" s="355"/>
      <c r="Q55" s="93" t="s">
        <v>249</v>
      </c>
      <c r="R55" s="94">
        <v>0.61841824770837783</v>
      </c>
      <c r="S55" s="93" t="s">
        <v>209</v>
      </c>
      <c r="W55" s="37" t="s">
        <v>282</v>
      </c>
      <c r="X55" s="44" t="s">
        <v>145</v>
      </c>
      <c r="Y55" s="44">
        <v>15</v>
      </c>
      <c r="Z55" s="44" t="s">
        <v>283</v>
      </c>
      <c r="AA55" s="69">
        <v>0.76907329412838532</v>
      </c>
    </row>
    <row r="56" spans="1:27" ht="13.8" x14ac:dyDescent="0.3">
      <c r="A56" s="37" t="s">
        <v>292</v>
      </c>
      <c r="B56" s="44" t="s">
        <v>147</v>
      </c>
      <c r="C56" s="44">
        <v>13</v>
      </c>
      <c r="D56" s="44" t="s">
        <v>451</v>
      </c>
      <c r="E56" s="60">
        <f t="shared" si="6"/>
        <v>1</v>
      </c>
      <c r="F56" s="355"/>
      <c r="Q56" s="93" t="s">
        <v>466</v>
      </c>
      <c r="R56" s="94">
        <v>0.99461817608484948</v>
      </c>
      <c r="S56" s="93" t="s">
        <v>208</v>
      </c>
      <c r="W56" s="37" t="s">
        <v>268</v>
      </c>
      <c r="X56" s="44" t="s">
        <v>144</v>
      </c>
      <c r="Y56" s="44">
        <v>16</v>
      </c>
      <c r="Z56" s="44" t="s">
        <v>269</v>
      </c>
      <c r="AA56" s="69">
        <v>0.76510407852428497</v>
      </c>
    </row>
    <row r="57" spans="1:27" ht="13.8" x14ac:dyDescent="0.3">
      <c r="A57" s="37" t="s">
        <v>278</v>
      </c>
      <c r="B57" s="44" t="s">
        <v>147</v>
      </c>
      <c r="C57" s="44">
        <v>13</v>
      </c>
      <c r="D57" s="44" t="s">
        <v>279</v>
      </c>
      <c r="E57" s="60">
        <f t="shared" si="6"/>
        <v>0.57845507252191697</v>
      </c>
      <c r="F57" s="355"/>
      <c r="Q57" s="93" t="s">
        <v>358</v>
      </c>
      <c r="R57" s="94">
        <v>0.77444478716841458</v>
      </c>
      <c r="S57" s="93" t="s">
        <v>209</v>
      </c>
      <c r="W57" s="37" t="s">
        <v>418</v>
      </c>
      <c r="X57" s="44" t="s">
        <v>145</v>
      </c>
      <c r="Y57" s="44">
        <v>15</v>
      </c>
      <c r="Z57" s="44" t="s">
        <v>461</v>
      </c>
      <c r="AA57" s="69">
        <v>0.76017780502759058</v>
      </c>
    </row>
    <row r="58" spans="1:27" ht="13.8" x14ac:dyDescent="0.3">
      <c r="A58" s="37" t="s">
        <v>304</v>
      </c>
      <c r="B58" s="44" t="s">
        <v>147</v>
      </c>
      <c r="C58" s="44">
        <v>13</v>
      </c>
      <c r="D58" s="44" t="s">
        <v>305</v>
      </c>
      <c r="E58" s="60">
        <f t="shared" si="6"/>
        <v>0.62481029959532464</v>
      </c>
      <c r="F58" s="355"/>
      <c r="Q58" s="93" t="s">
        <v>299</v>
      </c>
      <c r="R58" s="94">
        <v>0.92936836749527552</v>
      </c>
      <c r="S58" s="93" t="s">
        <v>208</v>
      </c>
      <c r="W58" s="37" t="s">
        <v>392</v>
      </c>
      <c r="X58" s="44" t="s">
        <v>145</v>
      </c>
      <c r="Y58" s="44">
        <v>15</v>
      </c>
      <c r="Z58" s="44" t="s">
        <v>393</v>
      </c>
      <c r="AA58" s="69">
        <v>0.73349447513812149</v>
      </c>
    </row>
    <row r="59" spans="1:27" ht="13.8" x14ac:dyDescent="0.3">
      <c r="A59" s="45" t="s">
        <v>310</v>
      </c>
      <c r="B59" s="46" t="s">
        <v>178</v>
      </c>
      <c r="C59" s="46">
        <v>12</v>
      </c>
      <c r="D59" s="46" t="s">
        <v>466</v>
      </c>
      <c r="E59" s="61">
        <f t="shared" si="6"/>
        <v>0.99461817608484948</v>
      </c>
      <c r="F59" s="355"/>
      <c r="Q59" s="93" t="s">
        <v>297</v>
      </c>
      <c r="R59" s="94">
        <v>0.66251692368655679</v>
      </c>
      <c r="S59" s="93" t="s">
        <v>209</v>
      </c>
      <c r="W59" s="37" t="s">
        <v>254</v>
      </c>
      <c r="X59" s="44" t="s">
        <v>146</v>
      </c>
      <c r="Y59" s="44">
        <v>14</v>
      </c>
      <c r="Z59" s="44" t="s">
        <v>255</v>
      </c>
      <c r="AA59" s="69">
        <v>0.71562826313957539</v>
      </c>
    </row>
    <row r="60" spans="1:27" ht="13.8" x14ac:dyDescent="0.3">
      <c r="A60" s="45" t="s">
        <v>421</v>
      </c>
      <c r="B60" s="46" t="s">
        <v>178</v>
      </c>
      <c r="C60" s="46">
        <v>12</v>
      </c>
      <c r="D60" s="46" t="s">
        <v>422</v>
      </c>
      <c r="E60" s="61">
        <f t="shared" si="6"/>
        <v>0.99533285779852521</v>
      </c>
      <c r="F60" s="355"/>
      <c r="Q60" s="93" t="s">
        <v>385</v>
      </c>
      <c r="R60" s="94">
        <v>0.93843994106691131</v>
      </c>
      <c r="S60" s="93" t="s">
        <v>208</v>
      </c>
      <c r="W60" s="37" t="s">
        <v>250</v>
      </c>
      <c r="X60" s="44" t="s">
        <v>147</v>
      </c>
      <c r="Y60" s="44">
        <v>13</v>
      </c>
      <c r="Z60" s="44" t="s">
        <v>251</v>
      </c>
      <c r="AA60" s="69">
        <v>0.68875112521618576</v>
      </c>
    </row>
    <row r="61" spans="1:27" ht="13.8" x14ac:dyDescent="0.3">
      <c r="A61" s="95" t="s">
        <v>308</v>
      </c>
      <c r="B61" s="96" t="s">
        <v>180</v>
      </c>
      <c r="C61" s="96">
        <v>11</v>
      </c>
      <c r="D61" s="96" t="s">
        <v>309</v>
      </c>
      <c r="E61" s="97">
        <f t="shared" si="6"/>
        <v>0.93520619672453054</v>
      </c>
      <c r="F61" s="355"/>
      <c r="Q61" s="93" t="s">
        <v>406</v>
      </c>
      <c r="R61" s="94">
        <v>0.83267459864721705</v>
      </c>
      <c r="S61" s="93" t="s">
        <v>208</v>
      </c>
      <c r="W61" s="37" t="s">
        <v>296</v>
      </c>
      <c r="X61" s="44" t="s">
        <v>145</v>
      </c>
      <c r="Y61" s="44">
        <v>15</v>
      </c>
      <c r="Z61" s="44" t="s">
        <v>297</v>
      </c>
      <c r="AA61" s="69">
        <v>0.66251692368655679</v>
      </c>
    </row>
    <row r="62" spans="1:27" ht="14.4" thickBot="1" x14ac:dyDescent="0.35">
      <c r="A62" s="89" t="s">
        <v>381</v>
      </c>
      <c r="B62" s="90" t="s">
        <v>192</v>
      </c>
      <c r="C62" s="90">
        <v>5</v>
      </c>
      <c r="D62" s="90" t="s">
        <v>467</v>
      </c>
      <c r="E62" s="112">
        <f t="shared" si="6"/>
        <v>0.11951366732775717</v>
      </c>
      <c r="F62" s="355"/>
      <c r="Q62" s="93" t="s">
        <v>400</v>
      </c>
      <c r="R62" s="94">
        <v>0.98872477714287255</v>
      </c>
      <c r="S62" s="93" t="s">
        <v>208</v>
      </c>
      <c r="W62" s="37" t="s">
        <v>280</v>
      </c>
      <c r="X62" s="44" t="s">
        <v>147</v>
      </c>
      <c r="Y62" s="44">
        <v>13</v>
      </c>
      <c r="Z62" s="44" t="s">
        <v>281</v>
      </c>
      <c r="AA62" s="69">
        <v>0.64970550208303401</v>
      </c>
    </row>
    <row r="63" spans="1:27" ht="13.8" x14ac:dyDescent="0.3">
      <c r="A63" s="37" t="s">
        <v>474</v>
      </c>
      <c r="B63" s="44" t="s">
        <v>167</v>
      </c>
      <c r="C63" s="44">
        <v>19</v>
      </c>
      <c r="D63" s="44" t="s">
        <v>471</v>
      </c>
      <c r="E63" s="60">
        <f t="shared" si="6"/>
        <v>0.78418126509511765</v>
      </c>
      <c r="F63" s="355"/>
      <c r="Q63" s="93" t="s">
        <v>469</v>
      </c>
      <c r="R63" s="94">
        <v>0.97036252976978032</v>
      </c>
      <c r="S63" s="93" t="s">
        <v>208</v>
      </c>
      <c r="W63" s="37" t="s">
        <v>371</v>
      </c>
      <c r="X63" s="44" t="s">
        <v>144</v>
      </c>
      <c r="Y63" s="44">
        <v>16</v>
      </c>
      <c r="Z63" s="44" t="s">
        <v>199</v>
      </c>
      <c r="AA63" s="69">
        <v>0.63157463237392464</v>
      </c>
    </row>
    <row r="64" spans="1:27" ht="13.8" x14ac:dyDescent="0.3">
      <c r="A64" s="37" t="s">
        <v>472</v>
      </c>
      <c r="B64" s="44" t="s">
        <v>171</v>
      </c>
      <c r="C64" s="44">
        <v>17</v>
      </c>
      <c r="D64" s="44" t="s">
        <v>463</v>
      </c>
      <c r="E64" s="60">
        <f t="shared" si="6"/>
        <v>0.89001113183270453</v>
      </c>
      <c r="F64" s="355"/>
      <c r="Q64" s="93" t="s">
        <v>301</v>
      </c>
      <c r="R64" s="94">
        <v>0.98538704581358605</v>
      </c>
      <c r="S64" s="93" t="s">
        <v>208</v>
      </c>
      <c r="W64" s="37" t="s">
        <v>475</v>
      </c>
      <c r="X64" s="44" t="s">
        <v>147</v>
      </c>
      <c r="Y64" s="44">
        <v>13</v>
      </c>
      <c r="Z64" s="44" t="s">
        <v>458</v>
      </c>
      <c r="AA64" s="69">
        <v>0.62875460562079877</v>
      </c>
    </row>
    <row r="65" spans="1:27" ht="13.8" x14ac:dyDescent="0.3">
      <c r="A65" s="45" t="s">
        <v>468</v>
      </c>
      <c r="B65" s="46" t="s">
        <v>178</v>
      </c>
      <c r="C65" s="46">
        <v>12</v>
      </c>
      <c r="D65" s="46" t="s">
        <v>469</v>
      </c>
      <c r="E65" s="61">
        <f t="shared" si="6"/>
        <v>0.97036252976978032</v>
      </c>
      <c r="F65" s="355"/>
      <c r="Q65" s="93" t="s">
        <v>356</v>
      </c>
      <c r="R65" s="94">
        <v>0.975461842272901</v>
      </c>
      <c r="S65" s="93" t="s">
        <v>208</v>
      </c>
      <c r="W65" s="37" t="s">
        <v>304</v>
      </c>
      <c r="X65" s="44" t="s">
        <v>147</v>
      </c>
      <c r="Y65" s="44">
        <v>13</v>
      </c>
      <c r="Z65" s="44" t="s">
        <v>305</v>
      </c>
      <c r="AA65" s="69">
        <v>0.62481029959532464</v>
      </c>
    </row>
    <row r="66" spans="1:27" ht="13.8" x14ac:dyDescent="0.3">
      <c r="A66" s="37" t="s">
        <v>434</v>
      </c>
      <c r="B66" s="47" t="s">
        <v>433</v>
      </c>
      <c r="C66" s="47"/>
      <c r="D66" s="44" t="s">
        <v>435</v>
      </c>
      <c r="E66" s="69">
        <f t="shared" si="6"/>
        <v>0.99609846555590886</v>
      </c>
      <c r="F66" s="5"/>
      <c r="Q66" s="93" t="s">
        <v>253</v>
      </c>
      <c r="R66" s="94">
        <v>0.91865112788863534</v>
      </c>
      <c r="S66" s="93" t="s">
        <v>208</v>
      </c>
      <c r="W66" s="37" t="s">
        <v>248</v>
      </c>
      <c r="X66" s="44" t="s">
        <v>145</v>
      </c>
      <c r="Y66" s="44">
        <v>15</v>
      </c>
      <c r="Z66" s="44" t="s">
        <v>249</v>
      </c>
      <c r="AA66" s="69">
        <v>0.61841824770837783</v>
      </c>
    </row>
    <row r="67" spans="1:27" ht="14.4" thickBot="1" x14ac:dyDescent="0.35">
      <c r="A67" s="53" t="s">
        <v>300</v>
      </c>
      <c r="B67" s="54" t="s">
        <v>433</v>
      </c>
      <c r="C67" s="54"/>
      <c r="D67" s="54" t="s">
        <v>301</v>
      </c>
      <c r="E67" s="63">
        <f t="shared" si="6"/>
        <v>0.98538704581358605</v>
      </c>
      <c r="F67" s="5"/>
      <c r="Q67" s="93" t="s">
        <v>365</v>
      </c>
      <c r="R67" s="94">
        <v>1</v>
      </c>
      <c r="S67" s="93" t="s">
        <v>208</v>
      </c>
      <c r="W67" s="37" t="s">
        <v>274</v>
      </c>
      <c r="X67" s="44" t="s">
        <v>146</v>
      </c>
      <c r="Y67" s="44">
        <v>14</v>
      </c>
      <c r="Z67" s="44" t="s">
        <v>275</v>
      </c>
      <c r="AA67" s="69">
        <v>0.58646630934150079</v>
      </c>
    </row>
    <row r="68" spans="1:27" ht="13.8" x14ac:dyDescent="0.3">
      <c r="A68" s="41" t="s">
        <v>316</v>
      </c>
      <c r="B68" s="43" t="s">
        <v>146</v>
      </c>
      <c r="C68" s="42">
        <f>AVERAGE(C7:C62)</f>
        <v>14.232142857142858</v>
      </c>
      <c r="D68" s="42"/>
      <c r="E68" s="42"/>
      <c r="F68" s="5"/>
      <c r="G68" s="122"/>
      <c r="Q68" s="93" t="s">
        <v>257</v>
      </c>
      <c r="R68" s="94">
        <v>0.94700000000000006</v>
      </c>
      <c r="S68" s="93" t="s">
        <v>208</v>
      </c>
      <c r="W68" s="37" t="s">
        <v>278</v>
      </c>
      <c r="X68" s="44" t="s">
        <v>147</v>
      </c>
      <c r="Y68" s="44">
        <v>13</v>
      </c>
      <c r="Z68" s="44" t="s">
        <v>279</v>
      </c>
      <c r="AA68" s="69">
        <v>0.57845507252191697</v>
      </c>
    </row>
    <row r="69" spans="1:27" ht="13.8" x14ac:dyDescent="0.3">
      <c r="A69" s="3"/>
      <c r="B69" s="3"/>
      <c r="F69" s="5"/>
      <c r="Q69" s="93"/>
      <c r="R69" s="94"/>
      <c r="S69" s="93"/>
      <c r="W69" s="37" t="s">
        <v>294</v>
      </c>
      <c r="X69" s="44" t="s">
        <v>146</v>
      </c>
      <c r="Y69" s="44">
        <v>14</v>
      </c>
      <c r="Z69" s="44" t="s">
        <v>295</v>
      </c>
      <c r="AA69" s="69">
        <v>0.5641445718679996</v>
      </c>
    </row>
    <row r="70" spans="1:27" ht="13.8" x14ac:dyDescent="0.3">
      <c r="A70" s="3"/>
      <c r="B70" s="3"/>
      <c r="F70" s="9"/>
      <c r="G70" s="122"/>
      <c r="Q70" s="93"/>
      <c r="R70" s="94"/>
      <c r="S70" s="93"/>
      <c r="W70" s="37" t="s">
        <v>245</v>
      </c>
      <c r="X70" s="44" t="s">
        <v>144</v>
      </c>
      <c r="Y70" s="44">
        <v>16</v>
      </c>
      <c r="Z70" s="44" t="s">
        <v>246</v>
      </c>
      <c r="AA70" s="69">
        <v>0.541533003736272</v>
      </c>
    </row>
    <row r="71" spans="1:27" ht="13.8" x14ac:dyDescent="0.3">
      <c r="A71" s="48" t="s">
        <v>317</v>
      </c>
      <c r="F71" s="9"/>
      <c r="Q71" s="49"/>
      <c r="R71" s="58"/>
      <c r="S71" s="49"/>
      <c r="W71" s="37" t="s">
        <v>284</v>
      </c>
      <c r="X71" s="44" t="s">
        <v>147</v>
      </c>
      <c r="Y71" s="44">
        <v>13</v>
      </c>
      <c r="Z71" s="44" t="s">
        <v>285</v>
      </c>
      <c r="AA71" s="69">
        <v>0.47637430521244206</v>
      </c>
    </row>
    <row r="72" spans="1:27" ht="13.8" x14ac:dyDescent="0.3">
      <c r="A72" s="48" t="s">
        <v>318</v>
      </c>
      <c r="B72" s="86"/>
      <c r="C72" s="86"/>
      <c r="D72" s="86"/>
      <c r="E72" s="86"/>
      <c r="F72" s="9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9">
        <v>0.36101059894989318</v>
      </c>
    </row>
    <row r="73" spans="1:27" ht="13.8" x14ac:dyDescent="0.3">
      <c r="A73" s="85" t="s">
        <v>429</v>
      </c>
      <c r="B73" s="86"/>
      <c r="C73" s="86"/>
      <c r="D73" s="86"/>
      <c r="E73" s="86"/>
      <c r="F73" s="87"/>
      <c r="Q73" s="49"/>
      <c r="R73" s="58"/>
      <c r="S73" s="49"/>
      <c r="W73" s="37" t="s">
        <v>473</v>
      </c>
      <c r="X73" s="44" t="s">
        <v>147</v>
      </c>
      <c r="Y73" s="44">
        <v>13</v>
      </c>
      <c r="Z73" s="44" t="s">
        <v>462</v>
      </c>
      <c r="AA73" s="69">
        <v>0.33305692234682915</v>
      </c>
    </row>
    <row r="74" spans="1:27" ht="14.4" thickBot="1" x14ac:dyDescent="0.35">
      <c r="A74" s="85" t="s">
        <v>319</v>
      </c>
      <c r="B74" s="86"/>
      <c r="C74" s="86"/>
      <c r="D74" s="86"/>
      <c r="E74" s="86"/>
      <c r="F74" s="87"/>
      <c r="Q74" s="49"/>
      <c r="R74" s="58"/>
      <c r="S74" s="49"/>
      <c r="W74" s="53" t="s">
        <v>381</v>
      </c>
      <c r="X74" s="57" t="s">
        <v>192</v>
      </c>
      <c r="Y74" s="57">
        <v>5</v>
      </c>
      <c r="Z74" s="57" t="s">
        <v>467</v>
      </c>
      <c r="AA74" s="111">
        <v>0.11951366732775717</v>
      </c>
    </row>
    <row r="75" spans="1:27" ht="13.8" x14ac:dyDescent="0.3">
      <c r="A75" s="85" t="s">
        <v>476</v>
      </c>
      <c r="D75" s="9"/>
      <c r="F75" s="87"/>
      <c r="Q75" s="49"/>
      <c r="R75" s="58"/>
      <c r="S75" s="49"/>
    </row>
    <row r="76" spans="1:27" ht="13.8" x14ac:dyDescent="0.3">
      <c r="A76" s="48" t="s">
        <v>320</v>
      </c>
      <c r="D76" s="9"/>
      <c r="Q76" s="49"/>
      <c r="R76" s="58"/>
      <c r="S76" s="49"/>
    </row>
    <row r="77" spans="1:27" ht="13.8" x14ac:dyDescent="0.3">
      <c r="A77" s="48"/>
      <c r="D77" s="9"/>
      <c r="Q77" s="49"/>
      <c r="R77" s="59"/>
      <c r="S77" s="49"/>
    </row>
    <row r="78" spans="1:27" x14ac:dyDescent="0.25">
      <c r="A78" s="48"/>
    </row>
    <row r="79" spans="1:27" x14ac:dyDescent="0.2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A80"/>
      <c r="B80"/>
      <c r="C80"/>
      <c r="D80"/>
      <c r="E80" s="74"/>
      <c r="F80"/>
      <c r="Q80"/>
      <c r="R80"/>
      <c r="S80"/>
      <c r="AA80" s="88"/>
    </row>
    <row r="81" spans="1:27" s="86" customFormat="1" x14ac:dyDescent="0.25">
      <c r="AA81" s="88"/>
    </row>
    <row r="82" spans="1:27" s="86" customFormat="1" x14ac:dyDescent="0.2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5">
      <c r="Q83" s="86"/>
      <c r="R83" s="86"/>
      <c r="S83" s="86"/>
      <c r="AA83"/>
    </row>
    <row r="84" spans="1:27" x14ac:dyDescent="0.25">
      <c r="AA84"/>
    </row>
    <row r="88" spans="1:27" x14ac:dyDescent="0.2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D41"/>
  <sheetViews>
    <sheetView zoomScale="90" zoomScaleNormal="90" workbookViewId="0"/>
  </sheetViews>
  <sheetFormatPr defaultColWidth="9.109375" defaultRowHeight="13.8" x14ac:dyDescent="0.3"/>
  <cols>
    <col min="1" max="1" width="19.33203125" style="49" customWidth="1"/>
    <col min="2" max="2" width="9" style="44" customWidth="1"/>
    <col min="3" max="3" width="6.44140625" style="44" customWidth="1"/>
    <col min="4" max="4" width="8" style="44" customWidth="1"/>
    <col min="5" max="16384" width="9.109375" style="49"/>
  </cols>
  <sheetData>
    <row r="1" spans="1:4" ht="18" x14ac:dyDescent="0.35">
      <c r="A1" s="40" t="s">
        <v>155</v>
      </c>
    </row>
    <row r="4" spans="1:4" x14ac:dyDescent="0.3">
      <c r="A4" s="76" t="s">
        <v>156</v>
      </c>
      <c r="B4" s="144" t="s">
        <v>157</v>
      </c>
      <c r="C4" s="144" t="s">
        <v>158</v>
      </c>
      <c r="D4" s="144" t="s">
        <v>159</v>
      </c>
    </row>
    <row r="5" spans="1:4" x14ac:dyDescent="0.3">
      <c r="A5" s="77"/>
      <c r="B5" s="145" t="s">
        <v>160</v>
      </c>
      <c r="C5" s="145" t="s">
        <v>161</v>
      </c>
      <c r="D5" s="145" t="s">
        <v>161</v>
      </c>
    </row>
    <row r="6" spans="1:4" x14ac:dyDescent="0.3">
      <c r="A6" s="77"/>
      <c r="B6" s="145"/>
      <c r="C6" s="145"/>
      <c r="D6" s="145"/>
    </row>
    <row r="7" spans="1:4" x14ac:dyDescent="0.3">
      <c r="A7" s="48"/>
      <c r="B7" s="145" t="s">
        <v>162</v>
      </c>
      <c r="C7" s="145" t="s">
        <v>163</v>
      </c>
      <c r="D7" s="145" t="s">
        <v>163</v>
      </c>
    </row>
    <row r="8" spans="1:4" x14ac:dyDescent="0.3">
      <c r="B8" s="145" t="s">
        <v>164</v>
      </c>
      <c r="C8" s="145" t="s">
        <v>165</v>
      </c>
      <c r="D8" s="145" t="s">
        <v>165</v>
      </c>
    </row>
    <row r="9" spans="1:4" x14ac:dyDescent="0.3">
      <c r="B9" s="145" t="s">
        <v>166</v>
      </c>
      <c r="C9" s="145" t="s">
        <v>167</v>
      </c>
      <c r="D9" s="145" t="s">
        <v>167</v>
      </c>
    </row>
    <row r="10" spans="1:4" x14ac:dyDescent="0.3">
      <c r="A10" s="48"/>
      <c r="B10" s="145"/>
      <c r="C10" s="145"/>
      <c r="D10" s="145"/>
    </row>
    <row r="11" spans="1:4" x14ac:dyDescent="0.3">
      <c r="A11" s="48"/>
      <c r="B11" s="145" t="s">
        <v>168</v>
      </c>
      <c r="C11" s="145" t="s">
        <v>169</v>
      </c>
      <c r="D11" s="145" t="s">
        <v>169</v>
      </c>
    </row>
    <row r="12" spans="1:4" x14ac:dyDescent="0.3">
      <c r="A12" s="48"/>
      <c r="B12" s="145" t="s">
        <v>170</v>
      </c>
      <c r="C12" s="145" t="s">
        <v>171</v>
      </c>
      <c r="D12" s="145" t="s">
        <v>171</v>
      </c>
    </row>
    <row r="13" spans="1:4" x14ac:dyDescent="0.3">
      <c r="A13" s="48"/>
      <c r="B13" s="145" t="s">
        <v>172</v>
      </c>
      <c r="C13" s="145" t="s">
        <v>144</v>
      </c>
      <c r="D13" s="145" t="s">
        <v>144</v>
      </c>
    </row>
    <row r="14" spans="1:4" x14ac:dyDescent="0.3">
      <c r="A14" s="48"/>
      <c r="B14" s="145"/>
      <c r="C14" s="145"/>
      <c r="D14" s="145"/>
    </row>
    <row r="15" spans="1:4" x14ac:dyDescent="0.3">
      <c r="A15" s="48"/>
      <c r="B15" s="145" t="s">
        <v>173</v>
      </c>
      <c r="C15" s="145" t="s">
        <v>145</v>
      </c>
      <c r="D15" s="145" t="s">
        <v>145</v>
      </c>
    </row>
    <row r="16" spans="1:4" x14ac:dyDescent="0.3">
      <c r="A16" s="48"/>
      <c r="B16" s="145" t="s">
        <v>174</v>
      </c>
      <c r="C16" s="145" t="s">
        <v>146</v>
      </c>
      <c r="D16" s="145" t="s">
        <v>146</v>
      </c>
    </row>
    <row r="17" spans="1:4" x14ac:dyDescent="0.3">
      <c r="A17" s="48"/>
      <c r="B17" s="145" t="s">
        <v>175</v>
      </c>
      <c r="C17" s="145" t="s">
        <v>147</v>
      </c>
      <c r="D17" s="145" t="s">
        <v>147</v>
      </c>
    </row>
    <row r="18" spans="1:4" x14ac:dyDescent="0.3">
      <c r="A18" s="48"/>
      <c r="B18" s="145"/>
      <c r="C18" s="145"/>
      <c r="D18" s="145"/>
    </row>
    <row r="19" spans="1:4" x14ac:dyDescent="0.3">
      <c r="A19" s="76" t="s">
        <v>176</v>
      </c>
      <c r="B19" s="144" t="s">
        <v>157</v>
      </c>
      <c r="C19" s="144" t="s">
        <v>158</v>
      </c>
      <c r="D19" s="144" t="s">
        <v>159</v>
      </c>
    </row>
    <row r="20" spans="1:4" x14ac:dyDescent="0.3">
      <c r="A20" s="78"/>
      <c r="B20" s="77"/>
      <c r="C20" s="77"/>
      <c r="D20" s="77"/>
    </row>
    <row r="21" spans="1:4" x14ac:dyDescent="0.3">
      <c r="A21" s="48"/>
      <c r="B21" s="145" t="s">
        <v>177</v>
      </c>
      <c r="C21" s="145" t="s">
        <v>178</v>
      </c>
      <c r="D21" s="145" t="s">
        <v>178</v>
      </c>
    </row>
    <row r="22" spans="1:4" x14ac:dyDescent="0.3">
      <c r="A22" s="48"/>
      <c r="B22" s="145" t="s">
        <v>179</v>
      </c>
      <c r="C22" s="145" t="s">
        <v>180</v>
      </c>
      <c r="D22" s="145" t="s">
        <v>180</v>
      </c>
    </row>
    <row r="23" spans="1:4" x14ac:dyDescent="0.3">
      <c r="A23" s="48"/>
      <c r="B23" s="145" t="s">
        <v>181</v>
      </c>
      <c r="C23" s="145" t="s">
        <v>182</v>
      </c>
      <c r="D23" s="145" t="s">
        <v>182</v>
      </c>
    </row>
    <row r="24" spans="1:4" x14ac:dyDescent="0.3">
      <c r="A24" s="48"/>
      <c r="B24" s="145"/>
      <c r="C24" s="145"/>
      <c r="D24" s="145"/>
    </row>
    <row r="25" spans="1:4" x14ac:dyDescent="0.3">
      <c r="A25" s="77"/>
      <c r="B25" s="145" t="s">
        <v>183</v>
      </c>
      <c r="C25" s="145" t="s">
        <v>184</v>
      </c>
      <c r="D25" s="145" t="s">
        <v>184</v>
      </c>
    </row>
    <row r="26" spans="1:4" x14ac:dyDescent="0.3">
      <c r="A26" s="48"/>
      <c r="B26" s="145" t="s">
        <v>185</v>
      </c>
      <c r="C26" s="145" t="s">
        <v>186</v>
      </c>
      <c r="D26" s="145" t="s">
        <v>186</v>
      </c>
    </row>
    <row r="27" spans="1:4" x14ac:dyDescent="0.3">
      <c r="A27" s="48"/>
      <c r="B27" s="145" t="s">
        <v>187</v>
      </c>
      <c r="C27" s="145" t="s">
        <v>188</v>
      </c>
      <c r="D27" s="145" t="s">
        <v>188</v>
      </c>
    </row>
    <row r="28" spans="1:4" x14ac:dyDescent="0.3">
      <c r="A28" s="48"/>
      <c r="B28" s="145"/>
      <c r="C28" s="145"/>
      <c r="D28" s="145"/>
    </row>
    <row r="29" spans="1:4" x14ac:dyDescent="0.3">
      <c r="A29" s="48"/>
      <c r="B29" s="145" t="s">
        <v>189</v>
      </c>
      <c r="C29" s="145" t="s">
        <v>190</v>
      </c>
      <c r="D29" s="145" t="s">
        <v>190</v>
      </c>
    </row>
    <row r="30" spans="1:4" x14ac:dyDescent="0.3">
      <c r="A30" s="48"/>
      <c r="B30" s="145" t="s">
        <v>191</v>
      </c>
      <c r="C30" s="145" t="s">
        <v>192</v>
      </c>
      <c r="D30" s="145" t="s">
        <v>192</v>
      </c>
    </row>
    <row r="31" spans="1:4" x14ac:dyDescent="0.3">
      <c r="A31" s="48"/>
      <c r="B31" s="145" t="s">
        <v>193</v>
      </c>
      <c r="C31" s="145" t="s">
        <v>194</v>
      </c>
      <c r="D31" s="145" t="s">
        <v>194</v>
      </c>
    </row>
    <row r="32" spans="1:4" x14ac:dyDescent="0.3">
      <c r="A32" s="48"/>
      <c r="B32" s="145"/>
      <c r="C32" s="145"/>
      <c r="D32" s="145"/>
    </row>
    <row r="33" spans="1:4" x14ac:dyDescent="0.3">
      <c r="A33" s="48"/>
      <c r="B33" s="145" t="s">
        <v>195</v>
      </c>
      <c r="C33" s="145" t="s">
        <v>196</v>
      </c>
      <c r="D33" s="145" t="s">
        <v>196</v>
      </c>
    </row>
    <row r="34" spans="1:4" x14ac:dyDescent="0.3">
      <c r="A34" s="48"/>
      <c r="B34" s="145"/>
      <c r="C34" s="145"/>
      <c r="D34" s="145"/>
    </row>
    <row r="35" spans="1:4" x14ac:dyDescent="0.3">
      <c r="A35" s="48"/>
      <c r="B35" s="145" t="s">
        <v>197</v>
      </c>
      <c r="C35" s="145" t="s">
        <v>197</v>
      </c>
      <c r="D35" s="145" t="s">
        <v>197</v>
      </c>
    </row>
    <row r="36" spans="1:4" x14ac:dyDescent="0.3">
      <c r="A36" s="48"/>
      <c r="B36" s="145"/>
      <c r="C36" s="145"/>
      <c r="D36" s="145"/>
    </row>
    <row r="37" spans="1:4" x14ac:dyDescent="0.3">
      <c r="A37" s="76" t="s">
        <v>198</v>
      </c>
      <c r="B37" s="144" t="s">
        <v>157</v>
      </c>
      <c r="C37" s="144" t="s">
        <v>158</v>
      </c>
      <c r="D37" s="144" t="s">
        <v>159</v>
      </c>
    </row>
    <row r="38" spans="1:4" x14ac:dyDescent="0.3">
      <c r="A38" s="77"/>
      <c r="B38" s="145" t="s">
        <v>197</v>
      </c>
      <c r="C38" s="145" t="s">
        <v>199</v>
      </c>
      <c r="D38" s="145" t="s">
        <v>199</v>
      </c>
    </row>
    <row r="39" spans="1:4" x14ac:dyDescent="0.3">
      <c r="A39" s="48"/>
      <c r="B39" s="145"/>
      <c r="C39" s="145"/>
      <c r="D39" s="145"/>
    </row>
    <row r="41" spans="1:4" x14ac:dyDescent="0.3">
      <c r="A41" s="48" t="s">
        <v>122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2060"/>
    <pageSetUpPr fitToPage="1"/>
  </sheetPr>
  <dimension ref="A1:AH88"/>
  <sheetViews>
    <sheetView zoomScale="80" zoomScaleNormal="80" workbookViewId="0">
      <selection activeCell="A7" sqref="A7"/>
    </sheetView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479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444</v>
      </c>
      <c r="AA5" s="65" t="s">
        <v>444</v>
      </c>
      <c r="AF5" s="82" t="s">
        <v>445</v>
      </c>
      <c r="AG5" s="81"/>
    </row>
    <row r="6" spans="1:33" ht="13.8" x14ac:dyDescent="0.3">
      <c r="A6" s="101" t="s">
        <v>217</v>
      </c>
      <c r="B6" s="102" t="s">
        <v>480</v>
      </c>
      <c r="C6" s="103"/>
      <c r="D6" s="103"/>
      <c r="E6" s="104">
        <v>40543</v>
      </c>
      <c r="W6" s="101" t="s">
        <v>217</v>
      </c>
      <c r="X6" s="102" t="s">
        <v>480</v>
      </c>
      <c r="Y6" s="103"/>
      <c r="Z6" s="103"/>
      <c r="AA6" s="104">
        <v>40543</v>
      </c>
      <c r="AC6" s="67" t="s">
        <v>141</v>
      </c>
      <c r="AD6" s="68"/>
      <c r="AE6" s="68"/>
      <c r="AF6" s="42">
        <f>AVERAGE(Y$13:Y$51)</f>
        <v>14.432432432432432</v>
      </c>
      <c r="AG6" s="79"/>
    </row>
    <row r="7" spans="1:33" ht="14.4" thickBot="1" x14ac:dyDescent="0.35">
      <c r="A7" s="45" t="s">
        <v>441</v>
      </c>
      <c r="B7" s="46" t="s">
        <v>169</v>
      </c>
      <c r="C7" s="46">
        <v>18</v>
      </c>
      <c r="D7" s="46" t="s">
        <v>442</v>
      </c>
      <c r="E7" s="61">
        <f t="shared" ref="E7:E14" si="0">VLOOKUP($D7,$Q$7:$R$68,2,0)</f>
        <v>1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0.84669359982989578</v>
      </c>
      <c r="S7" s="93" t="s">
        <v>208</v>
      </c>
      <c r="W7" s="113" t="s">
        <v>447</v>
      </c>
      <c r="X7" s="114" t="s">
        <v>144</v>
      </c>
      <c r="Y7" s="114">
        <v>16</v>
      </c>
      <c r="Z7" s="114" t="s">
        <v>448</v>
      </c>
      <c r="AA7" s="115" t="s">
        <v>433</v>
      </c>
      <c r="AC7" s="57" t="s">
        <v>215</v>
      </c>
      <c r="AD7" s="57" t="s">
        <v>139</v>
      </c>
      <c r="AE7" s="57" t="s">
        <v>140</v>
      </c>
      <c r="AG7" s="80"/>
    </row>
    <row r="8" spans="1:33" ht="13.8" x14ac:dyDescent="0.3">
      <c r="A8" s="37" t="s">
        <v>298</v>
      </c>
      <c r="B8" s="44" t="s">
        <v>171</v>
      </c>
      <c r="C8" s="44">
        <v>17</v>
      </c>
      <c r="D8" s="44" t="s">
        <v>299</v>
      </c>
      <c r="E8" s="60">
        <f t="shared" si="0"/>
        <v>0.92936836749527552</v>
      </c>
      <c r="F8" s="355"/>
      <c r="G8" s="37" t="s">
        <v>142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228</v>
      </c>
      <c r="R8" s="94">
        <v>0.96680210088197405</v>
      </c>
      <c r="S8" s="93" t="s">
        <v>208</v>
      </c>
      <c r="W8" s="37" t="s">
        <v>449</v>
      </c>
      <c r="X8" s="44" t="s">
        <v>144</v>
      </c>
      <c r="Y8" s="44">
        <v>16</v>
      </c>
      <c r="Z8" s="44" t="s">
        <v>450</v>
      </c>
      <c r="AA8" s="69" t="s">
        <v>433</v>
      </c>
      <c r="AC8" s="37" t="s">
        <v>142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8" x14ac:dyDescent="0.3">
      <c r="A9" s="45" t="s">
        <v>232</v>
      </c>
      <c r="B9" s="46" t="s">
        <v>144</v>
      </c>
      <c r="C9" s="46">
        <v>16</v>
      </c>
      <c r="D9" s="46" t="s">
        <v>233</v>
      </c>
      <c r="E9" s="61">
        <f t="shared" si="0"/>
        <v>0.89318320146074259</v>
      </c>
      <c r="F9" s="355"/>
      <c r="G9" s="37" t="s">
        <v>144</v>
      </c>
      <c r="H9" s="49">
        <f>COUNTIF(C$7:C$67,"=16")</f>
        <v>9</v>
      </c>
      <c r="I9" s="50">
        <f t="shared" ref="I9:I14" si="1">H9/H$14</f>
        <v>0.15254237288135594</v>
      </c>
      <c r="K9" s="122"/>
      <c r="M9" s="122"/>
      <c r="N9" s="122"/>
      <c r="O9" s="122"/>
      <c r="Q9" s="93" t="s">
        <v>451</v>
      </c>
      <c r="R9" s="94">
        <v>1</v>
      </c>
      <c r="S9" s="93" t="s">
        <v>208</v>
      </c>
      <c r="W9" s="37" t="s">
        <v>452</v>
      </c>
      <c r="X9" s="44" t="s">
        <v>145</v>
      </c>
      <c r="Y9" s="44">
        <v>15</v>
      </c>
      <c r="Z9" s="44" t="s">
        <v>453</v>
      </c>
      <c r="AA9" s="69" t="s">
        <v>433</v>
      </c>
      <c r="AC9" s="37" t="s">
        <v>144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ht="13.8" x14ac:dyDescent="0.3">
      <c r="A10" s="45" t="s">
        <v>371</v>
      </c>
      <c r="B10" s="46" t="s">
        <v>144</v>
      </c>
      <c r="C10" s="46">
        <v>16</v>
      </c>
      <c r="D10" s="46" t="s">
        <v>199</v>
      </c>
      <c r="E10" s="61">
        <f t="shared" si="0"/>
        <v>0.63157463237392464</v>
      </c>
      <c r="F10" s="355"/>
      <c r="G10" s="37" t="s">
        <v>145</v>
      </c>
      <c r="H10" s="49">
        <f>COUNTIF(C$7:C$67,"=15")</f>
        <v>15</v>
      </c>
      <c r="I10" s="50">
        <f t="shared" si="1"/>
        <v>0.25423728813559321</v>
      </c>
      <c r="K10" s="122"/>
      <c r="M10" s="122"/>
      <c r="N10" s="122"/>
      <c r="O10" s="122"/>
      <c r="Q10" s="93" t="s">
        <v>223</v>
      </c>
      <c r="R10" s="94">
        <v>0.91042888352305396</v>
      </c>
      <c r="S10" s="93" t="s">
        <v>208</v>
      </c>
      <c r="W10" s="37" t="s">
        <v>454</v>
      </c>
      <c r="X10" s="44" t="s">
        <v>145</v>
      </c>
      <c r="Y10" s="44">
        <v>15</v>
      </c>
      <c r="Z10" s="44" t="s">
        <v>455</v>
      </c>
      <c r="AA10" s="69" t="s">
        <v>433</v>
      </c>
      <c r="AC10" s="37" t="s">
        <v>145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ht="13.8" x14ac:dyDescent="0.3">
      <c r="A11" s="45" t="s">
        <v>264</v>
      </c>
      <c r="B11" s="46" t="s">
        <v>144</v>
      </c>
      <c r="C11" s="46">
        <v>16</v>
      </c>
      <c r="D11" s="46" t="s">
        <v>464</v>
      </c>
      <c r="E11" s="61">
        <f t="shared" si="0"/>
        <v>1</v>
      </c>
      <c r="F11" s="355"/>
      <c r="G11" s="37" t="s">
        <v>146</v>
      </c>
      <c r="H11" s="49">
        <f>COUNTIF(C$7:C$67,"=14")</f>
        <v>15</v>
      </c>
      <c r="I11" s="50">
        <f t="shared" si="1"/>
        <v>0.25423728813559321</v>
      </c>
      <c r="K11" s="122"/>
      <c r="M11" s="122"/>
      <c r="N11" s="122"/>
      <c r="O11" s="122"/>
      <c r="Q11" s="93" t="s">
        <v>244</v>
      </c>
      <c r="R11" s="94">
        <v>0.91095138568993894</v>
      </c>
      <c r="S11" s="93" t="s">
        <v>208</v>
      </c>
      <c r="W11" s="37" t="s">
        <v>456</v>
      </c>
      <c r="X11" s="44" t="s">
        <v>146</v>
      </c>
      <c r="Y11" s="44">
        <v>14</v>
      </c>
      <c r="Z11" s="44" t="s">
        <v>457</v>
      </c>
      <c r="AA11" s="69" t="s">
        <v>433</v>
      </c>
      <c r="AC11" s="37" t="s">
        <v>146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ht="13.8" x14ac:dyDescent="0.3">
      <c r="A12" s="45" t="s">
        <v>268</v>
      </c>
      <c r="B12" s="46" t="s">
        <v>144</v>
      </c>
      <c r="C12" s="46">
        <v>16</v>
      </c>
      <c r="D12" s="46" t="s">
        <v>269</v>
      </c>
      <c r="E12" s="61">
        <f t="shared" si="0"/>
        <v>0.76510407852428497</v>
      </c>
      <c r="F12" s="355"/>
      <c r="G12" s="37" t="s">
        <v>147</v>
      </c>
      <c r="H12" s="49">
        <f>COUNTIF(C$7:C$67,"=13")</f>
        <v>11</v>
      </c>
      <c r="I12" s="50">
        <f t="shared" si="1"/>
        <v>0.1864406779661017</v>
      </c>
      <c r="Q12" s="93" t="s">
        <v>458</v>
      </c>
      <c r="R12" s="94">
        <v>0.62875460562079877</v>
      </c>
      <c r="S12" s="93" t="s">
        <v>209</v>
      </c>
      <c r="W12" s="37" t="s">
        <v>459</v>
      </c>
      <c r="X12" s="44" t="s">
        <v>147</v>
      </c>
      <c r="Y12" s="44">
        <v>13</v>
      </c>
      <c r="Z12" s="44" t="s">
        <v>460</v>
      </c>
      <c r="AA12" s="69" t="s">
        <v>433</v>
      </c>
      <c r="AC12" s="37" t="s">
        <v>147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4.4" thickBot="1" x14ac:dyDescent="0.35">
      <c r="A13" s="45" t="s">
        <v>470</v>
      </c>
      <c r="B13" s="46" t="s">
        <v>144</v>
      </c>
      <c r="C13" s="46">
        <v>16</v>
      </c>
      <c r="D13" s="46" t="s">
        <v>465</v>
      </c>
      <c r="E13" s="61">
        <f t="shared" si="0"/>
        <v>0.96341849943457658</v>
      </c>
      <c r="F13" s="355"/>
      <c r="G13" s="53" t="s">
        <v>148</v>
      </c>
      <c r="H13" s="55">
        <f>COUNTIF(C$7:C$67,"&lt;13")</f>
        <v>5</v>
      </c>
      <c r="I13" s="56">
        <f t="shared" si="1"/>
        <v>8.4745762711864403E-2</v>
      </c>
      <c r="Q13" s="93" t="s">
        <v>251</v>
      </c>
      <c r="R13" s="94">
        <v>0.68875112521618576</v>
      </c>
      <c r="S13" s="93" t="s">
        <v>209</v>
      </c>
      <c r="W13" s="37" t="s">
        <v>362</v>
      </c>
      <c r="X13" s="44" t="s">
        <v>146</v>
      </c>
      <c r="Y13" s="44">
        <v>14</v>
      </c>
      <c r="Z13" s="44" t="s">
        <v>363</v>
      </c>
      <c r="AA13" s="69">
        <v>1.0379329114785329</v>
      </c>
      <c r="AC13" s="53" t="s">
        <v>148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8" x14ac:dyDescent="0.3">
      <c r="A14" s="45" t="s">
        <v>245</v>
      </c>
      <c r="B14" s="46" t="s">
        <v>144</v>
      </c>
      <c r="C14" s="46">
        <v>16</v>
      </c>
      <c r="D14" s="46" t="s">
        <v>246</v>
      </c>
      <c r="E14" s="61">
        <f t="shared" si="0"/>
        <v>0.541533003736272</v>
      </c>
      <c r="F14" s="355"/>
      <c r="G14" s="41" t="s">
        <v>149</v>
      </c>
      <c r="H14" s="51">
        <f>SUM(H8:H13)</f>
        <v>59</v>
      </c>
      <c r="I14" s="52">
        <f t="shared" si="1"/>
        <v>1</v>
      </c>
      <c r="Q14" s="93" t="s">
        <v>461</v>
      </c>
      <c r="R14" s="94">
        <v>0.76017780502759058</v>
      </c>
      <c r="S14" s="93" t="s">
        <v>209</v>
      </c>
      <c r="W14" s="37" t="s">
        <v>377</v>
      </c>
      <c r="X14" s="44" t="s">
        <v>147</v>
      </c>
      <c r="Y14" s="44">
        <v>13</v>
      </c>
      <c r="Z14" s="44" t="s">
        <v>378</v>
      </c>
      <c r="AA14" s="69">
        <v>1.0292149475019923</v>
      </c>
      <c r="AC14" s="41" t="s">
        <v>149</v>
      </c>
      <c r="AD14" s="51">
        <f>SUM(AD8:AD13)</f>
        <v>37</v>
      </c>
      <c r="AE14" s="52">
        <f t="shared" si="2"/>
        <v>1</v>
      </c>
      <c r="AG14" s="80"/>
    </row>
    <row r="15" spans="1:33" ht="13.8" x14ac:dyDescent="0.3">
      <c r="A15" s="45" t="s">
        <v>355</v>
      </c>
      <c r="B15" s="46" t="s">
        <v>144</v>
      </c>
      <c r="C15" s="46">
        <v>16</v>
      </c>
      <c r="D15" s="46" t="s">
        <v>356</v>
      </c>
      <c r="E15" s="61">
        <f t="shared" ref="E15:E46" si="3">VLOOKUP($D15,$Q$7:$R$68,2,0)</f>
        <v>0.975461842272901</v>
      </c>
      <c r="F15" s="355"/>
      <c r="K15" s="5"/>
      <c r="Q15" s="93" t="s">
        <v>462</v>
      </c>
      <c r="R15" s="94">
        <v>0.33305692234682915</v>
      </c>
      <c r="S15" s="93" t="s">
        <v>199</v>
      </c>
      <c r="W15" s="37" t="s">
        <v>441</v>
      </c>
      <c r="X15" s="44" t="s">
        <v>169</v>
      </c>
      <c r="Y15" s="44">
        <v>18</v>
      </c>
      <c r="Z15" s="44" t="s">
        <v>442</v>
      </c>
      <c r="AA15" s="69">
        <v>1</v>
      </c>
      <c r="AG15" s="80"/>
    </row>
    <row r="16" spans="1:33" ht="13.8" x14ac:dyDescent="0.3">
      <c r="A16" s="95" t="s">
        <v>252</v>
      </c>
      <c r="B16" s="96" t="s">
        <v>144</v>
      </c>
      <c r="C16" s="96">
        <v>16</v>
      </c>
      <c r="D16" s="96" t="s">
        <v>253</v>
      </c>
      <c r="E16" s="97">
        <f t="shared" si="3"/>
        <v>0.91865112788863534</v>
      </c>
      <c r="F16" s="355"/>
      <c r="K16" s="5"/>
      <c r="Q16" s="93" t="s">
        <v>463</v>
      </c>
      <c r="R16" s="94">
        <v>0.89001113183270453</v>
      </c>
      <c r="S16" s="93" t="s">
        <v>208</v>
      </c>
      <c r="W16" s="37" t="s">
        <v>264</v>
      </c>
      <c r="X16" s="44" t="s">
        <v>144</v>
      </c>
      <c r="Y16" s="44">
        <v>16</v>
      </c>
      <c r="Z16" s="44" t="s">
        <v>464</v>
      </c>
      <c r="AA16" s="69">
        <v>1</v>
      </c>
      <c r="AG16" s="80"/>
    </row>
    <row r="17" spans="1:33" ht="13.8" x14ac:dyDescent="0.3">
      <c r="A17" s="45" t="s">
        <v>256</v>
      </c>
      <c r="B17" s="46" t="s">
        <v>144</v>
      </c>
      <c r="C17" s="46">
        <v>16</v>
      </c>
      <c r="D17" s="46" t="s">
        <v>257</v>
      </c>
      <c r="E17" s="61">
        <f t="shared" si="3"/>
        <v>0.94700000000000006</v>
      </c>
      <c r="F17" s="355"/>
      <c r="K17" s="5"/>
      <c r="Q17" s="93" t="s">
        <v>262</v>
      </c>
      <c r="R17" s="94">
        <v>0.89235399590163933</v>
      </c>
      <c r="S17" s="93" t="s">
        <v>208</v>
      </c>
      <c r="W17" s="37" t="s">
        <v>338</v>
      </c>
      <c r="X17" s="44" t="s">
        <v>146</v>
      </c>
      <c r="Y17" s="44">
        <v>14</v>
      </c>
      <c r="Z17" s="44" t="s">
        <v>341</v>
      </c>
      <c r="AA17" s="69">
        <v>1</v>
      </c>
      <c r="AC17" s="67" t="s">
        <v>150</v>
      </c>
      <c r="AD17" s="68"/>
      <c r="AE17" s="68"/>
      <c r="AF17" s="42">
        <f>AVERAGE(Y$52:Y$70)</f>
        <v>14.578947368421053</v>
      </c>
      <c r="AG17" s="79"/>
    </row>
    <row r="18" spans="1:33" ht="14.4" thickBot="1" x14ac:dyDescent="0.35">
      <c r="A18" s="37" t="s">
        <v>222</v>
      </c>
      <c r="B18" s="44" t="s">
        <v>145</v>
      </c>
      <c r="C18" s="44">
        <v>15</v>
      </c>
      <c r="D18" s="44" t="s">
        <v>223</v>
      </c>
      <c r="E18" s="60">
        <f t="shared" si="3"/>
        <v>0.91042888352305396</v>
      </c>
      <c r="F18" s="355"/>
      <c r="K18" s="5"/>
      <c r="Q18" s="93" t="s">
        <v>388</v>
      </c>
      <c r="R18" s="94">
        <v>0.91199977892108686</v>
      </c>
      <c r="S18" s="93" t="s">
        <v>208</v>
      </c>
      <c r="W18" s="37" t="s">
        <v>290</v>
      </c>
      <c r="X18" s="44" t="s">
        <v>146</v>
      </c>
      <c r="Y18" s="44">
        <v>14</v>
      </c>
      <c r="Z18" s="44" t="s">
        <v>291</v>
      </c>
      <c r="AA18" s="69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3.8" x14ac:dyDescent="0.3">
      <c r="A19" s="37" t="s">
        <v>224</v>
      </c>
      <c r="B19" s="44" t="s">
        <v>145</v>
      </c>
      <c r="C19" s="44">
        <v>15</v>
      </c>
      <c r="D19" s="44" t="s">
        <v>225</v>
      </c>
      <c r="E19" s="60">
        <f t="shared" si="3"/>
        <v>0.86662573118314323</v>
      </c>
      <c r="F19" s="355"/>
      <c r="K19" s="5"/>
      <c r="Q19" s="93" t="s">
        <v>255</v>
      </c>
      <c r="R19" s="94">
        <v>0.71562826313957539</v>
      </c>
      <c r="S19" s="93" t="s">
        <v>209</v>
      </c>
      <c r="W19" s="37" t="s">
        <v>364</v>
      </c>
      <c r="X19" s="44" t="s">
        <v>146</v>
      </c>
      <c r="Y19" s="44">
        <v>14</v>
      </c>
      <c r="Z19" s="44" t="s">
        <v>365</v>
      </c>
      <c r="AA19" s="69">
        <v>1</v>
      </c>
      <c r="AC19" s="37" t="s">
        <v>142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8" x14ac:dyDescent="0.3">
      <c r="A20" s="37" t="s">
        <v>266</v>
      </c>
      <c r="B20" s="44" t="s">
        <v>145</v>
      </c>
      <c r="C20" s="44">
        <v>15</v>
      </c>
      <c r="D20" s="44" t="s">
        <v>267</v>
      </c>
      <c r="E20" s="69">
        <f t="shared" si="3"/>
        <v>0.81254016709511567</v>
      </c>
      <c r="F20" s="355"/>
      <c r="K20" s="5"/>
      <c r="Q20" s="93" t="s">
        <v>435</v>
      </c>
      <c r="R20" s="94">
        <v>0.99609846555590886</v>
      </c>
      <c r="S20" s="93" t="s">
        <v>208</v>
      </c>
      <c r="W20" s="37" t="s">
        <v>292</v>
      </c>
      <c r="X20" s="44" t="s">
        <v>147</v>
      </c>
      <c r="Y20" s="44">
        <v>13</v>
      </c>
      <c r="Z20" s="44" t="s">
        <v>451</v>
      </c>
      <c r="AA20" s="69">
        <v>1</v>
      </c>
      <c r="AC20" s="37" t="s">
        <v>144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8" x14ac:dyDescent="0.3">
      <c r="A21" s="37" t="s">
        <v>405</v>
      </c>
      <c r="B21" s="44" t="s">
        <v>145</v>
      </c>
      <c r="C21" s="44">
        <v>15</v>
      </c>
      <c r="D21" s="44" t="s">
        <v>406</v>
      </c>
      <c r="E21" s="60">
        <f t="shared" si="3"/>
        <v>0.83267459864721705</v>
      </c>
      <c r="F21" s="355"/>
      <c r="Q21" s="93" t="s">
        <v>199</v>
      </c>
      <c r="R21" s="94">
        <v>0.63157463237392464</v>
      </c>
      <c r="S21" s="93" t="s">
        <v>209</v>
      </c>
      <c r="W21" s="37" t="s">
        <v>306</v>
      </c>
      <c r="X21" s="44" t="s">
        <v>145</v>
      </c>
      <c r="Y21" s="44">
        <v>15</v>
      </c>
      <c r="Z21" s="44" t="s">
        <v>307</v>
      </c>
      <c r="AA21" s="69">
        <v>0.99967409016838671</v>
      </c>
      <c r="AC21" s="37" t="s">
        <v>145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8" x14ac:dyDescent="0.3">
      <c r="A22" s="37" t="s">
        <v>276</v>
      </c>
      <c r="B22" s="44" t="s">
        <v>145</v>
      </c>
      <c r="C22" s="44">
        <v>15</v>
      </c>
      <c r="D22" s="44" t="s">
        <v>277</v>
      </c>
      <c r="E22" s="60">
        <f t="shared" si="3"/>
        <v>0.36101059894989318</v>
      </c>
      <c r="F22" s="355"/>
      <c r="Q22" s="93" t="s">
        <v>464</v>
      </c>
      <c r="R22" s="94">
        <v>1</v>
      </c>
      <c r="S22" s="93" t="s">
        <v>208</v>
      </c>
      <c r="W22" s="37" t="s">
        <v>434</v>
      </c>
      <c r="X22" s="47" t="s">
        <v>433</v>
      </c>
      <c r="Y22" s="47"/>
      <c r="Z22" s="44" t="s">
        <v>435</v>
      </c>
      <c r="AA22" s="69">
        <v>0.99609846555590886</v>
      </c>
      <c r="AC22" s="37" t="s">
        <v>146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8" x14ac:dyDescent="0.3">
      <c r="A23" s="37" t="s">
        <v>418</v>
      </c>
      <c r="B23" s="44" t="s">
        <v>145</v>
      </c>
      <c r="C23" s="44">
        <v>15</v>
      </c>
      <c r="D23" s="44" t="s">
        <v>461</v>
      </c>
      <c r="E23" s="60">
        <f t="shared" si="3"/>
        <v>0.76017780502759058</v>
      </c>
      <c r="F23" s="355"/>
      <c r="Q23" s="93" t="s">
        <v>267</v>
      </c>
      <c r="R23" s="94">
        <v>0.81254016709511567</v>
      </c>
      <c r="S23" s="93" t="s">
        <v>208</v>
      </c>
      <c r="W23" s="37" t="s">
        <v>302</v>
      </c>
      <c r="X23" s="44" t="s">
        <v>146</v>
      </c>
      <c r="Y23" s="44">
        <v>14</v>
      </c>
      <c r="Z23" s="44" t="s">
        <v>303</v>
      </c>
      <c r="AA23" s="69">
        <v>0.99569209153466032</v>
      </c>
      <c r="AC23" s="37" t="s">
        <v>147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" thickBot="1" x14ac:dyDescent="0.35">
      <c r="A24" s="95" t="s">
        <v>404</v>
      </c>
      <c r="B24" s="96" t="s">
        <v>145</v>
      </c>
      <c r="C24" s="96">
        <v>15</v>
      </c>
      <c r="D24" s="96" t="s">
        <v>241</v>
      </c>
      <c r="E24" s="97">
        <f t="shared" si="3"/>
        <v>0.95294725244456668</v>
      </c>
      <c r="F24" s="355"/>
      <c r="Q24" s="93" t="s">
        <v>269</v>
      </c>
      <c r="R24" s="94">
        <v>0.76510407852428497</v>
      </c>
      <c r="S24" s="93" t="s">
        <v>209</v>
      </c>
      <c r="W24" s="37" t="s">
        <v>421</v>
      </c>
      <c r="X24" s="44" t="s">
        <v>178</v>
      </c>
      <c r="Y24" s="44">
        <v>12</v>
      </c>
      <c r="Z24" s="44" t="s">
        <v>422</v>
      </c>
      <c r="AA24" s="69">
        <v>0.99533285779852521</v>
      </c>
      <c r="AC24" s="53" t="s">
        <v>148</v>
      </c>
      <c r="AD24" s="55">
        <f>COUNTIF(Y$52:Y$70,"&lt;13")</f>
        <v>0</v>
      </c>
      <c r="AE24" s="56">
        <f t="shared" si="4"/>
        <v>0</v>
      </c>
      <c r="AG24" s="80"/>
    </row>
    <row r="25" spans="1:33" ht="13.8" x14ac:dyDescent="0.3">
      <c r="A25" s="37" t="s">
        <v>282</v>
      </c>
      <c r="B25" s="44" t="s">
        <v>145</v>
      </c>
      <c r="C25" s="44">
        <v>15</v>
      </c>
      <c r="D25" s="44" t="s">
        <v>283</v>
      </c>
      <c r="E25" s="60">
        <f t="shared" si="3"/>
        <v>0.76907329412838532</v>
      </c>
      <c r="F25" s="355"/>
      <c r="Q25" s="93" t="s">
        <v>465</v>
      </c>
      <c r="R25" s="94">
        <v>0.96341849943457658</v>
      </c>
      <c r="S25" s="93" t="s">
        <v>208</v>
      </c>
      <c r="W25" s="37" t="s">
        <v>310</v>
      </c>
      <c r="X25" s="44" t="s">
        <v>178</v>
      </c>
      <c r="Y25" s="44">
        <v>12</v>
      </c>
      <c r="Z25" s="44" t="s">
        <v>466</v>
      </c>
      <c r="AA25" s="69">
        <v>0.99461817608484948</v>
      </c>
      <c r="AC25" s="41" t="s">
        <v>149</v>
      </c>
      <c r="AD25" s="51">
        <f>SUM(AD19:AD24)</f>
        <v>19</v>
      </c>
      <c r="AE25" s="52">
        <f t="shared" si="4"/>
        <v>1</v>
      </c>
      <c r="AG25" s="80"/>
    </row>
    <row r="26" spans="1:33" ht="13.8" x14ac:dyDescent="0.3">
      <c r="A26" s="37" t="s">
        <v>392</v>
      </c>
      <c r="B26" s="44" t="s">
        <v>145</v>
      </c>
      <c r="C26" s="44">
        <v>15</v>
      </c>
      <c r="D26" s="44" t="s">
        <v>393</v>
      </c>
      <c r="E26" s="69">
        <f t="shared" si="3"/>
        <v>0.73349447513812149</v>
      </c>
      <c r="F26" s="355"/>
      <c r="Q26" s="93" t="s">
        <v>233</v>
      </c>
      <c r="R26" s="94">
        <v>0.89318320146074259</v>
      </c>
      <c r="S26" s="93" t="s">
        <v>208</v>
      </c>
      <c r="W26" s="37" t="s">
        <v>286</v>
      </c>
      <c r="X26" s="44" t="s">
        <v>146</v>
      </c>
      <c r="Y26" s="44">
        <v>14</v>
      </c>
      <c r="Z26" s="44" t="s">
        <v>287</v>
      </c>
      <c r="AA26" s="69">
        <v>0.99126425624848336</v>
      </c>
      <c r="AG26" s="80"/>
    </row>
    <row r="27" spans="1:33" ht="13.8" x14ac:dyDescent="0.3">
      <c r="A27" s="37" t="s">
        <v>306</v>
      </c>
      <c r="B27" s="44" t="s">
        <v>145</v>
      </c>
      <c r="C27" s="44">
        <v>15</v>
      </c>
      <c r="D27" s="44" t="s">
        <v>307</v>
      </c>
      <c r="E27" s="60">
        <f t="shared" si="3"/>
        <v>0.99967409016838671</v>
      </c>
      <c r="F27" s="355"/>
      <c r="Q27" s="93" t="s">
        <v>378</v>
      </c>
      <c r="R27" s="94">
        <v>1.0292149475019923</v>
      </c>
      <c r="S27" s="93" t="s">
        <v>208</v>
      </c>
      <c r="W27" s="37" t="s">
        <v>399</v>
      </c>
      <c r="X27" s="44" t="s">
        <v>146</v>
      </c>
      <c r="Y27" s="44">
        <v>14</v>
      </c>
      <c r="Z27" s="44" t="s">
        <v>400</v>
      </c>
      <c r="AA27" s="69">
        <v>0.98872477714287255</v>
      </c>
      <c r="AG27" s="80"/>
    </row>
    <row r="28" spans="1:33" ht="13.8" x14ac:dyDescent="0.3">
      <c r="A28" s="37" t="s">
        <v>248</v>
      </c>
      <c r="B28" s="44" t="s">
        <v>145</v>
      </c>
      <c r="C28" s="44">
        <v>15</v>
      </c>
      <c r="D28" s="44" t="s">
        <v>249</v>
      </c>
      <c r="E28" s="69">
        <f t="shared" si="3"/>
        <v>0.61841824770837783</v>
      </c>
      <c r="F28" s="355"/>
      <c r="Q28" s="93" t="s">
        <v>341</v>
      </c>
      <c r="R28" s="94">
        <v>1</v>
      </c>
      <c r="S28" s="93" t="s">
        <v>208</v>
      </c>
      <c r="W28" s="37" t="s">
        <v>300</v>
      </c>
      <c r="X28" s="47" t="s">
        <v>433</v>
      </c>
      <c r="Y28" s="47"/>
      <c r="Z28" s="47" t="s">
        <v>301</v>
      </c>
      <c r="AA28" s="62">
        <v>0.98538704581358605</v>
      </c>
      <c r="AC28" s="67" t="s">
        <v>152</v>
      </c>
      <c r="AD28" s="68"/>
      <c r="AE28" s="68"/>
      <c r="AF28" s="42">
        <f>AVERAGE(Y$71:Y$74)</f>
        <v>11.5</v>
      </c>
      <c r="AG28" s="79"/>
    </row>
    <row r="29" spans="1:33" ht="14.4" thickBot="1" x14ac:dyDescent="0.35">
      <c r="A29" s="37" t="s">
        <v>437</v>
      </c>
      <c r="B29" s="44" t="s">
        <v>145</v>
      </c>
      <c r="C29" s="44">
        <v>15</v>
      </c>
      <c r="D29" s="44" t="s">
        <v>438</v>
      </c>
      <c r="E29" s="60">
        <f t="shared" si="3"/>
        <v>0.85816623707026407</v>
      </c>
      <c r="F29" s="355"/>
      <c r="Q29" s="93" t="s">
        <v>467</v>
      </c>
      <c r="R29" s="94">
        <v>0.11951366732775717</v>
      </c>
      <c r="S29" s="93" t="s">
        <v>199</v>
      </c>
      <c r="W29" s="37" t="s">
        <v>288</v>
      </c>
      <c r="X29" s="44" t="s">
        <v>146</v>
      </c>
      <c r="Y29" s="44">
        <v>14</v>
      </c>
      <c r="Z29" s="44" t="s">
        <v>289</v>
      </c>
      <c r="AA29" s="69">
        <v>0.97697589100213744</v>
      </c>
      <c r="AC29" s="57" t="s">
        <v>215</v>
      </c>
      <c r="AD29" s="57" t="s">
        <v>139</v>
      </c>
      <c r="AE29" s="57" t="s">
        <v>140</v>
      </c>
    </row>
    <row r="30" spans="1:33" ht="13.8" x14ac:dyDescent="0.3">
      <c r="A30" s="37" t="s">
        <v>357</v>
      </c>
      <c r="B30" s="44" t="s">
        <v>145</v>
      </c>
      <c r="C30" s="44">
        <v>15</v>
      </c>
      <c r="D30" s="44" t="s">
        <v>358</v>
      </c>
      <c r="E30" s="60">
        <f t="shared" si="3"/>
        <v>0.77444478716841458</v>
      </c>
      <c r="F30" s="355"/>
      <c r="Q30" s="93" t="s">
        <v>271</v>
      </c>
      <c r="R30" s="94">
        <v>0.7886228860092247</v>
      </c>
      <c r="S30" s="93" t="s">
        <v>209</v>
      </c>
      <c r="W30" s="37" t="s">
        <v>355</v>
      </c>
      <c r="X30" s="44" t="s">
        <v>144</v>
      </c>
      <c r="Y30" s="44">
        <v>16</v>
      </c>
      <c r="Z30" s="44" t="s">
        <v>356</v>
      </c>
      <c r="AA30" s="69">
        <v>0.975461842272901</v>
      </c>
      <c r="AC30" s="37" t="s">
        <v>142</v>
      </c>
      <c r="AD30" s="49">
        <f>COUNTIF(Y$71:Y$74,"&gt;16")</f>
        <v>0</v>
      </c>
      <c r="AE30" s="50">
        <f>AD30/AD$36</f>
        <v>0</v>
      </c>
    </row>
    <row r="31" spans="1:33" ht="13.8" x14ac:dyDescent="0.3">
      <c r="A31" s="37" t="s">
        <v>296</v>
      </c>
      <c r="B31" s="44" t="s">
        <v>145</v>
      </c>
      <c r="C31" s="44">
        <v>15</v>
      </c>
      <c r="D31" s="44" t="s">
        <v>297</v>
      </c>
      <c r="E31" s="60">
        <f t="shared" si="3"/>
        <v>0.66251692368655679</v>
      </c>
      <c r="F31" s="355"/>
      <c r="K31" s="122"/>
      <c r="L31" s="122"/>
      <c r="Q31" s="93" t="s">
        <v>273</v>
      </c>
      <c r="R31" s="94">
        <v>0.80341264723043471</v>
      </c>
      <c r="S31" s="93" t="s">
        <v>208</v>
      </c>
      <c r="W31" s="37" t="s">
        <v>468</v>
      </c>
      <c r="X31" s="44" t="s">
        <v>178</v>
      </c>
      <c r="Y31" s="44">
        <v>12</v>
      </c>
      <c r="Z31" s="44" t="s">
        <v>469</v>
      </c>
      <c r="AA31" s="69">
        <v>0.97036252976978032</v>
      </c>
      <c r="AC31" s="37" t="s">
        <v>144</v>
      </c>
      <c r="AD31" s="49">
        <f>COUNTIF(Y$71:Y$74,"=16")</f>
        <v>0</v>
      </c>
      <c r="AE31" s="50">
        <f t="shared" ref="AE31:AE36" si="5">AD31/AD$36</f>
        <v>0</v>
      </c>
    </row>
    <row r="32" spans="1:33" ht="13.8" x14ac:dyDescent="0.3">
      <c r="A32" s="95" t="s">
        <v>379</v>
      </c>
      <c r="B32" s="96" t="s">
        <v>145</v>
      </c>
      <c r="C32" s="96">
        <v>15</v>
      </c>
      <c r="D32" s="96" t="s">
        <v>385</v>
      </c>
      <c r="E32" s="97">
        <f t="shared" si="3"/>
        <v>0.93843994106691131</v>
      </c>
      <c r="F32" s="355"/>
      <c r="L32" s="122"/>
      <c r="Q32" s="93" t="s">
        <v>275</v>
      </c>
      <c r="R32" s="94">
        <v>0.58646630934150079</v>
      </c>
      <c r="S32" s="93" t="s">
        <v>209</v>
      </c>
      <c r="W32" s="37" t="s">
        <v>227</v>
      </c>
      <c r="X32" s="44" t="s">
        <v>146</v>
      </c>
      <c r="Y32" s="44">
        <v>14</v>
      </c>
      <c r="Z32" s="44" t="s">
        <v>228</v>
      </c>
      <c r="AA32" s="69">
        <v>0.96680210088197405</v>
      </c>
      <c r="AC32" s="37" t="s">
        <v>145</v>
      </c>
      <c r="AD32" s="49">
        <f>COUNTIF(Y$71:Y$74,"=15")</f>
        <v>1</v>
      </c>
      <c r="AE32" s="50">
        <f t="shared" si="5"/>
        <v>0.25</v>
      </c>
    </row>
    <row r="33" spans="1:31" ht="13.8" x14ac:dyDescent="0.3">
      <c r="A33" s="45" t="s">
        <v>227</v>
      </c>
      <c r="B33" s="46" t="s">
        <v>146</v>
      </c>
      <c r="C33" s="46">
        <v>14</v>
      </c>
      <c r="D33" s="46" t="s">
        <v>228</v>
      </c>
      <c r="E33" s="61">
        <f t="shared" si="3"/>
        <v>0.96680210088197405</v>
      </c>
      <c r="F33" s="355"/>
      <c r="L33" s="122"/>
      <c r="Q33" s="93" t="s">
        <v>281</v>
      </c>
      <c r="R33" s="94">
        <v>0.64970550208303401</v>
      </c>
      <c r="S33" s="93" t="s">
        <v>209</v>
      </c>
      <c r="W33" s="37" t="s">
        <v>470</v>
      </c>
      <c r="X33" s="44" t="s">
        <v>144</v>
      </c>
      <c r="Y33" s="44">
        <v>16</v>
      </c>
      <c r="Z33" s="44" t="s">
        <v>465</v>
      </c>
      <c r="AA33" s="69">
        <v>0.96341849943457658</v>
      </c>
      <c r="AC33" s="37" t="s">
        <v>146</v>
      </c>
      <c r="AD33" s="49">
        <f>COUNTIF(Y$71:Y$74,"=14")</f>
        <v>0</v>
      </c>
      <c r="AE33" s="50">
        <f t="shared" si="5"/>
        <v>0</v>
      </c>
    </row>
    <row r="34" spans="1:31" ht="13.8" x14ac:dyDescent="0.3">
      <c r="A34" s="45" t="s">
        <v>243</v>
      </c>
      <c r="B34" s="46" t="s">
        <v>146</v>
      </c>
      <c r="C34" s="46">
        <v>14</v>
      </c>
      <c r="D34" s="46" t="s">
        <v>244</v>
      </c>
      <c r="E34" s="61">
        <f t="shared" si="3"/>
        <v>0.91095138568993894</v>
      </c>
      <c r="F34" s="355"/>
      <c r="L34" s="122"/>
      <c r="Q34" s="93" t="s">
        <v>363</v>
      </c>
      <c r="R34" s="94">
        <v>1.0379329114785329</v>
      </c>
      <c r="S34" s="93" t="s">
        <v>208</v>
      </c>
      <c r="W34" s="37" t="s">
        <v>404</v>
      </c>
      <c r="X34" s="44" t="s">
        <v>145</v>
      </c>
      <c r="Y34" s="44">
        <v>15</v>
      </c>
      <c r="Z34" s="44" t="s">
        <v>241</v>
      </c>
      <c r="AA34" s="69">
        <v>0.95294725244456668</v>
      </c>
      <c r="AC34" s="37" t="s">
        <v>147</v>
      </c>
      <c r="AD34" s="49">
        <f>COUNTIF(Y$71:Y$74,"=13")</f>
        <v>2</v>
      </c>
      <c r="AE34" s="50">
        <f t="shared" si="5"/>
        <v>0.5</v>
      </c>
    </row>
    <row r="35" spans="1:31" ht="14.4" thickBot="1" x14ac:dyDescent="0.35">
      <c r="A35" s="45" t="s">
        <v>254</v>
      </c>
      <c r="B35" s="46" t="s">
        <v>146</v>
      </c>
      <c r="C35" s="46">
        <v>14</v>
      </c>
      <c r="D35" s="46" t="s">
        <v>255</v>
      </c>
      <c r="E35" s="61">
        <f t="shared" si="3"/>
        <v>0.71562826313957539</v>
      </c>
      <c r="F35" s="355"/>
      <c r="G35" s="49" t="s">
        <v>383</v>
      </c>
      <c r="L35" s="122"/>
      <c r="Q35" s="93" t="s">
        <v>285</v>
      </c>
      <c r="R35" s="94">
        <v>0.47637430521244206</v>
      </c>
      <c r="S35" s="93" t="s">
        <v>199</v>
      </c>
      <c r="W35" s="37" t="s">
        <v>256</v>
      </c>
      <c r="X35" s="44" t="s">
        <v>144</v>
      </c>
      <c r="Y35" s="44">
        <v>16</v>
      </c>
      <c r="Z35" s="44" t="s">
        <v>257</v>
      </c>
      <c r="AA35" s="69">
        <v>0.94700000000000006</v>
      </c>
      <c r="AC35" s="53" t="s">
        <v>148</v>
      </c>
      <c r="AD35" s="55">
        <f>COUNTIF(Y$71:Y$74,"&lt;13")</f>
        <v>1</v>
      </c>
      <c r="AE35" s="56">
        <f t="shared" si="5"/>
        <v>0.25</v>
      </c>
    </row>
    <row r="36" spans="1:31" ht="13.8" x14ac:dyDescent="0.3">
      <c r="A36" s="45" t="s">
        <v>259</v>
      </c>
      <c r="B36" s="46" t="s">
        <v>146</v>
      </c>
      <c r="C36" s="46">
        <v>14</v>
      </c>
      <c r="D36" s="46" t="s">
        <v>388</v>
      </c>
      <c r="E36" s="61">
        <f t="shared" si="3"/>
        <v>0.91199977892108686</v>
      </c>
      <c r="F36" s="355"/>
      <c r="G36" s="92"/>
      <c r="H36" s="7"/>
      <c r="I36" s="7"/>
      <c r="L36" s="122"/>
      <c r="Q36" s="93" t="s">
        <v>289</v>
      </c>
      <c r="R36" s="94">
        <v>0.97697589100213744</v>
      </c>
      <c r="S36" s="93" t="s">
        <v>208</v>
      </c>
      <c r="W36" s="37" t="s">
        <v>379</v>
      </c>
      <c r="X36" s="44" t="s">
        <v>145</v>
      </c>
      <c r="Y36" s="44">
        <v>15</v>
      </c>
      <c r="Z36" s="44" t="s">
        <v>385</v>
      </c>
      <c r="AA36" s="69">
        <v>0.93843994106691131</v>
      </c>
      <c r="AC36" s="41" t="s">
        <v>149</v>
      </c>
      <c r="AD36" s="51">
        <f>SUM(AD30:AD35)</f>
        <v>4</v>
      </c>
      <c r="AE36" s="52">
        <f t="shared" si="5"/>
        <v>1</v>
      </c>
    </row>
    <row r="37" spans="1:31" ht="13.8" x14ac:dyDescent="0.3">
      <c r="A37" s="45" t="s">
        <v>338</v>
      </c>
      <c r="B37" s="46" t="s">
        <v>146</v>
      </c>
      <c r="C37" s="46">
        <v>14</v>
      </c>
      <c r="D37" s="46" t="s">
        <v>341</v>
      </c>
      <c r="E37" s="61">
        <f t="shared" si="3"/>
        <v>1</v>
      </c>
      <c r="F37" s="355"/>
      <c r="H37" s="5"/>
      <c r="J37" s="7"/>
      <c r="Q37" s="93" t="s">
        <v>225</v>
      </c>
      <c r="R37" s="94">
        <v>0.86662573118314323</v>
      </c>
      <c r="S37" s="93" t="s">
        <v>208</v>
      </c>
      <c r="W37" s="37" t="s">
        <v>308</v>
      </c>
      <c r="X37" s="44" t="s">
        <v>182</v>
      </c>
      <c r="Y37" s="44">
        <v>10</v>
      </c>
      <c r="Z37" s="44" t="s">
        <v>309</v>
      </c>
      <c r="AA37" s="69">
        <v>0.93520619672453054</v>
      </c>
    </row>
    <row r="38" spans="1:31" ht="13.8" x14ac:dyDescent="0.3">
      <c r="A38" s="45" t="s">
        <v>272</v>
      </c>
      <c r="B38" s="46" t="s">
        <v>146</v>
      </c>
      <c r="C38" s="46">
        <v>14</v>
      </c>
      <c r="D38" s="46" t="s">
        <v>273</v>
      </c>
      <c r="E38" s="61">
        <f t="shared" si="3"/>
        <v>0.80341264723043471</v>
      </c>
      <c r="F38" s="355"/>
      <c r="H38" s="5"/>
      <c r="J38" s="8"/>
      <c r="Q38" s="93" t="s">
        <v>277</v>
      </c>
      <c r="R38" s="94">
        <v>0.36101059894989318</v>
      </c>
      <c r="S38" s="93" t="s">
        <v>199</v>
      </c>
      <c r="W38" s="37" t="s">
        <v>298</v>
      </c>
      <c r="X38" s="44" t="s">
        <v>171</v>
      </c>
      <c r="Y38" s="44">
        <v>17</v>
      </c>
      <c r="Z38" s="44" t="s">
        <v>299</v>
      </c>
      <c r="AA38" s="69">
        <v>0.92936836749527552</v>
      </c>
    </row>
    <row r="39" spans="1:31" ht="13.8" x14ac:dyDescent="0.3">
      <c r="A39" s="45" t="s">
        <v>274</v>
      </c>
      <c r="B39" s="46" t="s">
        <v>146</v>
      </c>
      <c r="C39" s="46">
        <v>14</v>
      </c>
      <c r="D39" s="46" t="s">
        <v>275</v>
      </c>
      <c r="E39" s="61">
        <f t="shared" si="3"/>
        <v>0.58646630934150079</v>
      </c>
      <c r="F39" s="355"/>
      <c r="H39" s="5"/>
      <c r="J39" s="8"/>
      <c r="Q39" s="93" t="s">
        <v>471</v>
      </c>
      <c r="R39" s="94">
        <v>0.78418126509511765</v>
      </c>
      <c r="S39" s="93" t="s">
        <v>209</v>
      </c>
      <c r="W39" s="37" t="s">
        <v>252</v>
      </c>
      <c r="X39" s="44" t="s">
        <v>144</v>
      </c>
      <c r="Y39" s="44">
        <v>16</v>
      </c>
      <c r="Z39" s="44" t="s">
        <v>253</v>
      </c>
      <c r="AA39" s="69">
        <v>0.91865112788863534</v>
      </c>
    </row>
    <row r="40" spans="1:31" ht="13.8" x14ac:dyDescent="0.3">
      <c r="A40" s="45" t="s">
        <v>362</v>
      </c>
      <c r="B40" s="46" t="s">
        <v>146</v>
      </c>
      <c r="C40" s="46">
        <v>14</v>
      </c>
      <c r="D40" s="46" t="s">
        <v>363</v>
      </c>
      <c r="E40" s="61">
        <f t="shared" si="3"/>
        <v>1.0379329114785329</v>
      </c>
      <c r="F40" s="355"/>
      <c r="H40" s="5"/>
      <c r="J40" s="8"/>
      <c r="Q40" s="93" t="s">
        <v>246</v>
      </c>
      <c r="R40" s="94">
        <v>0.541533003736272</v>
      </c>
      <c r="S40" s="93" t="s">
        <v>209</v>
      </c>
      <c r="W40" s="37" t="s">
        <v>259</v>
      </c>
      <c r="X40" s="44" t="s">
        <v>146</v>
      </c>
      <c r="Y40" s="44">
        <v>14</v>
      </c>
      <c r="Z40" s="44" t="s">
        <v>388</v>
      </c>
      <c r="AA40" s="69">
        <v>0.91199977892108686</v>
      </c>
    </row>
    <row r="41" spans="1:31" ht="13.8" x14ac:dyDescent="0.3">
      <c r="A41" s="45" t="s">
        <v>288</v>
      </c>
      <c r="B41" s="46" t="s">
        <v>146</v>
      </c>
      <c r="C41" s="46">
        <v>14</v>
      </c>
      <c r="D41" s="46" t="s">
        <v>289</v>
      </c>
      <c r="E41" s="61">
        <f t="shared" si="3"/>
        <v>0.97697589100213744</v>
      </c>
      <c r="F41" s="355"/>
      <c r="H41" s="5"/>
      <c r="J41" s="8"/>
      <c r="Q41" s="93" t="s">
        <v>279</v>
      </c>
      <c r="R41" s="94">
        <v>0.57845507252191697</v>
      </c>
      <c r="S41" s="93" t="s">
        <v>209</v>
      </c>
      <c r="W41" s="37" t="s">
        <v>243</v>
      </c>
      <c r="X41" s="44" t="s">
        <v>146</v>
      </c>
      <c r="Y41" s="44">
        <v>14</v>
      </c>
      <c r="Z41" s="44" t="s">
        <v>244</v>
      </c>
      <c r="AA41" s="69">
        <v>0.91095138568993894</v>
      </c>
    </row>
    <row r="42" spans="1:31" ht="13.8" x14ac:dyDescent="0.3">
      <c r="A42" s="45" t="s">
        <v>302</v>
      </c>
      <c r="B42" s="46" t="s">
        <v>146</v>
      </c>
      <c r="C42" s="46">
        <v>14</v>
      </c>
      <c r="D42" s="46" t="s">
        <v>303</v>
      </c>
      <c r="E42" s="61">
        <f t="shared" si="3"/>
        <v>0.99569209153466032</v>
      </c>
      <c r="F42" s="355"/>
      <c r="H42" s="5"/>
      <c r="J42" s="8"/>
      <c r="Q42" s="93" t="s">
        <v>442</v>
      </c>
      <c r="R42" s="94">
        <v>1</v>
      </c>
      <c r="S42" s="93" t="s">
        <v>208</v>
      </c>
      <c r="W42" s="37" t="s">
        <v>222</v>
      </c>
      <c r="X42" s="44" t="s">
        <v>145</v>
      </c>
      <c r="Y42" s="44">
        <v>15</v>
      </c>
      <c r="Z42" s="44" t="s">
        <v>223</v>
      </c>
      <c r="AA42" s="69">
        <v>0.91042888352305396</v>
      </c>
    </row>
    <row r="43" spans="1:31" ht="13.8" x14ac:dyDescent="0.3">
      <c r="A43" s="95" t="s">
        <v>286</v>
      </c>
      <c r="B43" s="96" t="s">
        <v>146</v>
      </c>
      <c r="C43" s="96">
        <v>14</v>
      </c>
      <c r="D43" s="96" t="s">
        <v>287</v>
      </c>
      <c r="E43" s="97">
        <f t="shared" si="3"/>
        <v>0.99126425624848336</v>
      </c>
      <c r="F43" s="355"/>
      <c r="Q43" s="93" t="s">
        <v>241</v>
      </c>
      <c r="R43" s="94">
        <v>0.95294725244456668</v>
      </c>
      <c r="S43" s="93" t="s">
        <v>208</v>
      </c>
      <c r="W43" s="37" t="s">
        <v>232</v>
      </c>
      <c r="X43" s="44" t="s">
        <v>144</v>
      </c>
      <c r="Y43" s="44">
        <v>16</v>
      </c>
      <c r="Z43" s="44" t="s">
        <v>233</v>
      </c>
      <c r="AA43" s="69">
        <v>0.89318320146074259</v>
      </c>
    </row>
    <row r="44" spans="1:31" ht="13.8" x14ac:dyDescent="0.3">
      <c r="A44" s="45" t="s">
        <v>290</v>
      </c>
      <c r="B44" s="46" t="s">
        <v>146</v>
      </c>
      <c r="C44" s="46">
        <v>14</v>
      </c>
      <c r="D44" s="46" t="s">
        <v>291</v>
      </c>
      <c r="E44" s="61">
        <f t="shared" si="3"/>
        <v>1</v>
      </c>
      <c r="F44" s="355"/>
      <c r="Q44" s="93" t="s">
        <v>422</v>
      </c>
      <c r="R44" s="94">
        <v>0.99533285779852521</v>
      </c>
      <c r="S44" s="93" t="s">
        <v>208</v>
      </c>
      <c r="W44" s="37" t="s">
        <v>261</v>
      </c>
      <c r="X44" s="44" t="s">
        <v>147</v>
      </c>
      <c r="Y44" s="44">
        <v>13</v>
      </c>
      <c r="Z44" s="44" t="s">
        <v>262</v>
      </c>
      <c r="AA44" s="69">
        <v>0.89235399590163933</v>
      </c>
    </row>
    <row r="45" spans="1:31" ht="13.8" x14ac:dyDescent="0.3">
      <c r="A45" s="45" t="s">
        <v>294</v>
      </c>
      <c r="B45" s="46" t="s">
        <v>146</v>
      </c>
      <c r="C45" s="46">
        <v>14</v>
      </c>
      <c r="D45" s="46" t="s">
        <v>295</v>
      </c>
      <c r="E45" s="61">
        <f t="shared" si="3"/>
        <v>0.5641445718679996</v>
      </c>
      <c r="F45" s="355"/>
      <c r="Q45" s="93" t="s">
        <v>303</v>
      </c>
      <c r="R45" s="94">
        <v>0.99569209153466032</v>
      </c>
      <c r="S45" s="93" t="s">
        <v>208</v>
      </c>
      <c r="W45" s="37" t="s">
        <v>472</v>
      </c>
      <c r="X45" s="44" t="s">
        <v>171</v>
      </c>
      <c r="Y45" s="44">
        <v>17</v>
      </c>
      <c r="Z45" s="44" t="s">
        <v>463</v>
      </c>
      <c r="AA45" s="69">
        <v>0.89001113183270453</v>
      </c>
    </row>
    <row r="46" spans="1:31" ht="13.8" x14ac:dyDescent="0.3">
      <c r="A46" s="45" t="s">
        <v>399</v>
      </c>
      <c r="B46" s="46" t="s">
        <v>146</v>
      </c>
      <c r="C46" s="46">
        <v>14</v>
      </c>
      <c r="D46" s="46" t="s">
        <v>400</v>
      </c>
      <c r="E46" s="61">
        <f t="shared" si="3"/>
        <v>0.98872477714287255</v>
      </c>
      <c r="F46" s="355"/>
      <c r="G46" s="122"/>
      <c r="J46" s="122"/>
      <c r="Q46" s="93" t="s">
        <v>283</v>
      </c>
      <c r="R46" s="94">
        <v>0.76907329412838532</v>
      </c>
      <c r="S46" s="93" t="s">
        <v>209</v>
      </c>
      <c r="W46" s="37" t="s">
        <v>224</v>
      </c>
      <c r="X46" s="44" t="s">
        <v>145</v>
      </c>
      <c r="Y46" s="44">
        <v>15</v>
      </c>
      <c r="Z46" s="44" t="s">
        <v>225</v>
      </c>
      <c r="AA46" s="69">
        <v>0.86662573118314323</v>
      </c>
    </row>
    <row r="47" spans="1:31" ht="13.8" x14ac:dyDescent="0.3">
      <c r="A47" s="45" t="s">
        <v>364</v>
      </c>
      <c r="B47" s="46" t="s">
        <v>146</v>
      </c>
      <c r="C47" s="46">
        <v>14</v>
      </c>
      <c r="D47" s="46" t="s">
        <v>365</v>
      </c>
      <c r="E47" s="61">
        <f t="shared" ref="E47:E67" si="6">VLOOKUP($D47,$Q$7:$R$68,2,0)</f>
        <v>1</v>
      </c>
      <c r="F47" s="355"/>
      <c r="G47" s="122"/>
      <c r="I47" s="122"/>
      <c r="J47" s="122"/>
      <c r="Q47" s="93" t="s">
        <v>305</v>
      </c>
      <c r="R47" s="94">
        <v>0.62481029959532464</v>
      </c>
      <c r="S47" s="93" t="s">
        <v>209</v>
      </c>
      <c r="W47" s="37" t="s">
        <v>437</v>
      </c>
      <c r="X47" s="44" t="s">
        <v>145</v>
      </c>
      <c r="Y47" s="44">
        <v>15</v>
      </c>
      <c r="Z47" s="44" t="s">
        <v>438</v>
      </c>
      <c r="AA47" s="69">
        <v>0.85816623707026407</v>
      </c>
    </row>
    <row r="48" spans="1:31" ht="13.8" x14ac:dyDescent="0.3">
      <c r="A48" s="37" t="s">
        <v>230</v>
      </c>
      <c r="B48" s="44" t="s">
        <v>147</v>
      </c>
      <c r="C48" s="44">
        <v>13</v>
      </c>
      <c r="D48" s="44" t="s">
        <v>231</v>
      </c>
      <c r="E48" s="60">
        <f t="shared" si="6"/>
        <v>0.84669359982989578</v>
      </c>
      <c r="F48" s="355"/>
      <c r="G48" s="122"/>
      <c r="I48" s="122"/>
      <c r="J48" s="122"/>
      <c r="Q48" s="93" t="s">
        <v>307</v>
      </c>
      <c r="R48" s="94">
        <v>0.99967409016838671</v>
      </c>
      <c r="S48" s="93" t="s">
        <v>208</v>
      </c>
      <c r="W48" s="37" t="s">
        <v>230</v>
      </c>
      <c r="X48" s="44" t="s">
        <v>147</v>
      </c>
      <c r="Y48" s="44">
        <v>13</v>
      </c>
      <c r="Z48" s="44" t="s">
        <v>231</v>
      </c>
      <c r="AA48" s="69">
        <v>0.84669359982989578</v>
      </c>
    </row>
    <row r="49" spans="1:27" ht="13.8" x14ac:dyDescent="0.3">
      <c r="A49" s="37" t="s">
        <v>250</v>
      </c>
      <c r="B49" s="44" t="s">
        <v>147</v>
      </c>
      <c r="C49" s="44">
        <v>13</v>
      </c>
      <c r="D49" s="44" t="s">
        <v>251</v>
      </c>
      <c r="E49" s="60">
        <f t="shared" si="6"/>
        <v>0.68875112521618576</v>
      </c>
      <c r="F49" s="355"/>
      <c r="G49" s="122"/>
      <c r="I49" s="122"/>
      <c r="J49" s="122"/>
      <c r="Q49" s="93" t="s">
        <v>295</v>
      </c>
      <c r="R49" s="94">
        <v>0.5641445718679996</v>
      </c>
      <c r="S49" s="93" t="s">
        <v>209</v>
      </c>
      <c r="W49" s="37" t="s">
        <v>405</v>
      </c>
      <c r="X49" s="44" t="s">
        <v>145</v>
      </c>
      <c r="Y49" s="44">
        <v>15</v>
      </c>
      <c r="Z49" s="44" t="s">
        <v>406</v>
      </c>
      <c r="AA49" s="69">
        <v>0.83267459864721705</v>
      </c>
    </row>
    <row r="50" spans="1:27" ht="13.8" x14ac:dyDescent="0.3">
      <c r="A50" s="37" t="s">
        <v>261</v>
      </c>
      <c r="B50" s="44" t="s">
        <v>147</v>
      </c>
      <c r="C50" s="44">
        <v>13</v>
      </c>
      <c r="D50" s="44" t="s">
        <v>262</v>
      </c>
      <c r="E50" s="60">
        <f t="shared" si="6"/>
        <v>0.89235399590163933</v>
      </c>
      <c r="F50" s="355"/>
      <c r="G50" s="122"/>
      <c r="I50" s="122"/>
      <c r="J50" s="122"/>
      <c r="Q50" s="93" t="s">
        <v>438</v>
      </c>
      <c r="R50" s="94">
        <v>0.85816623707026407</v>
      </c>
      <c r="S50" s="93" t="s">
        <v>208</v>
      </c>
      <c r="W50" s="37" t="s">
        <v>266</v>
      </c>
      <c r="X50" s="44" t="s">
        <v>145</v>
      </c>
      <c r="Y50" s="44">
        <v>15</v>
      </c>
      <c r="Z50" s="44" t="s">
        <v>267</v>
      </c>
      <c r="AA50" s="69">
        <v>0.81254016709511567</v>
      </c>
    </row>
    <row r="51" spans="1:27" ht="13.8" x14ac:dyDescent="0.3">
      <c r="A51" s="37" t="s">
        <v>473</v>
      </c>
      <c r="B51" s="44" t="s">
        <v>147</v>
      </c>
      <c r="C51" s="44">
        <v>13</v>
      </c>
      <c r="D51" s="44" t="s">
        <v>462</v>
      </c>
      <c r="E51" s="69">
        <f t="shared" si="6"/>
        <v>0.33305692234682915</v>
      </c>
      <c r="F51" s="355"/>
      <c r="I51" s="122"/>
      <c r="J51" s="122"/>
      <c r="Q51" s="93" t="s">
        <v>309</v>
      </c>
      <c r="R51" s="94">
        <v>0.93520619672453054</v>
      </c>
      <c r="S51" s="93" t="s">
        <v>208</v>
      </c>
      <c r="W51" s="37" t="s">
        <v>272</v>
      </c>
      <c r="X51" s="44" t="s">
        <v>146</v>
      </c>
      <c r="Y51" s="44">
        <v>14</v>
      </c>
      <c r="Z51" s="44" t="s">
        <v>273</v>
      </c>
      <c r="AA51" s="69">
        <v>0.80341264723043471</v>
      </c>
    </row>
    <row r="52" spans="1:27" ht="13.8" x14ac:dyDescent="0.3">
      <c r="A52" s="37" t="s">
        <v>270</v>
      </c>
      <c r="B52" s="44" t="s">
        <v>147</v>
      </c>
      <c r="C52" s="44">
        <v>13</v>
      </c>
      <c r="D52" s="44" t="s">
        <v>271</v>
      </c>
      <c r="E52" s="60">
        <f t="shared" si="6"/>
        <v>0.7886228860092247</v>
      </c>
      <c r="F52" s="355"/>
      <c r="Q52" s="93" t="s">
        <v>287</v>
      </c>
      <c r="R52" s="94">
        <v>0.99126425624848336</v>
      </c>
      <c r="S52" s="93" t="s">
        <v>208</v>
      </c>
      <c r="W52" s="37" t="s">
        <v>270</v>
      </c>
      <c r="X52" s="44" t="s">
        <v>147</v>
      </c>
      <c r="Y52" s="44">
        <v>13</v>
      </c>
      <c r="Z52" s="44" t="s">
        <v>271</v>
      </c>
      <c r="AA52" s="69">
        <v>0.7886228860092247</v>
      </c>
    </row>
    <row r="53" spans="1:27" ht="13.8" x14ac:dyDescent="0.3">
      <c r="A53" s="37" t="s">
        <v>377</v>
      </c>
      <c r="B53" s="44" t="s">
        <v>147</v>
      </c>
      <c r="C53" s="44">
        <v>13</v>
      </c>
      <c r="D53" s="44" t="s">
        <v>378</v>
      </c>
      <c r="E53" s="60">
        <f t="shared" si="6"/>
        <v>1.0292149475019923</v>
      </c>
      <c r="F53" s="355"/>
      <c r="Q53" s="93" t="s">
        <v>393</v>
      </c>
      <c r="R53" s="94">
        <v>0.73349447513812149</v>
      </c>
      <c r="S53" s="93" t="s">
        <v>209</v>
      </c>
      <c r="W53" s="37" t="s">
        <v>474</v>
      </c>
      <c r="X53" s="44" t="s">
        <v>167</v>
      </c>
      <c r="Y53" s="44">
        <v>19</v>
      </c>
      <c r="Z53" s="44" t="s">
        <v>471</v>
      </c>
      <c r="AA53" s="69">
        <v>0.78418126509511765</v>
      </c>
    </row>
    <row r="54" spans="1:27" ht="13.8" x14ac:dyDescent="0.3">
      <c r="A54" s="37" t="s">
        <v>280</v>
      </c>
      <c r="B54" s="44" t="s">
        <v>147</v>
      </c>
      <c r="C54" s="44">
        <v>13</v>
      </c>
      <c r="D54" s="44" t="s">
        <v>281</v>
      </c>
      <c r="E54" s="60">
        <f t="shared" si="6"/>
        <v>0.64970550208303401</v>
      </c>
      <c r="F54" s="355"/>
      <c r="Q54" s="93" t="s">
        <v>291</v>
      </c>
      <c r="R54" s="94">
        <v>1</v>
      </c>
      <c r="S54" s="93" t="s">
        <v>208</v>
      </c>
      <c r="W54" s="37" t="s">
        <v>357</v>
      </c>
      <c r="X54" s="44" t="s">
        <v>145</v>
      </c>
      <c r="Y54" s="44">
        <v>15</v>
      </c>
      <c r="Z54" s="44" t="s">
        <v>358</v>
      </c>
      <c r="AA54" s="69">
        <v>0.77444478716841458</v>
      </c>
    </row>
    <row r="55" spans="1:27" ht="13.8" x14ac:dyDescent="0.3">
      <c r="A55" s="37" t="s">
        <v>284</v>
      </c>
      <c r="B55" s="44" t="s">
        <v>147</v>
      </c>
      <c r="C55" s="44">
        <v>13</v>
      </c>
      <c r="D55" s="44" t="s">
        <v>285</v>
      </c>
      <c r="E55" s="69">
        <f t="shared" si="6"/>
        <v>0.47637430521244206</v>
      </c>
      <c r="F55" s="355"/>
      <c r="Q55" s="93" t="s">
        <v>249</v>
      </c>
      <c r="R55" s="94">
        <v>0.61841824770837783</v>
      </c>
      <c r="S55" s="93" t="s">
        <v>209</v>
      </c>
      <c r="W55" s="37" t="s">
        <v>282</v>
      </c>
      <c r="X55" s="44" t="s">
        <v>145</v>
      </c>
      <c r="Y55" s="44">
        <v>15</v>
      </c>
      <c r="Z55" s="44" t="s">
        <v>283</v>
      </c>
      <c r="AA55" s="69">
        <v>0.76907329412838532</v>
      </c>
    </row>
    <row r="56" spans="1:27" ht="13.8" x14ac:dyDescent="0.3">
      <c r="A56" s="37" t="s">
        <v>292</v>
      </c>
      <c r="B56" s="44" t="s">
        <v>147</v>
      </c>
      <c r="C56" s="44">
        <v>13</v>
      </c>
      <c r="D56" s="44" t="s">
        <v>451</v>
      </c>
      <c r="E56" s="60">
        <f t="shared" si="6"/>
        <v>1</v>
      </c>
      <c r="F56" s="355"/>
      <c r="Q56" s="93" t="s">
        <v>466</v>
      </c>
      <c r="R56" s="94">
        <v>0.99461817608484948</v>
      </c>
      <c r="S56" s="93" t="s">
        <v>208</v>
      </c>
      <c r="W56" s="37" t="s">
        <v>268</v>
      </c>
      <c r="X56" s="44" t="s">
        <v>144</v>
      </c>
      <c r="Y56" s="44">
        <v>16</v>
      </c>
      <c r="Z56" s="44" t="s">
        <v>269</v>
      </c>
      <c r="AA56" s="69">
        <v>0.76510407852428497</v>
      </c>
    </row>
    <row r="57" spans="1:27" ht="13.8" x14ac:dyDescent="0.3">
      <c r="A57" s="37" t="s">
        <v>278</v>
      </c>
      <c r="B57" s="44" t="s">
        <v>147</v>
      </c>
      <c r="C57" s="44">
        <v>13</v>
      </c>
      <c r="D57" s="44" t="s">
        <v>279</v>
      </c>
      <c r="E57" s="60">
        <f t="shared" si="6"/>
        <v>0.57845507252191697</v>
      </c>
      <c r="F57" s="355"/>
      <c r="Q57" s="93" t="s">
        <v>358</v>
      </c>
      <c r="R57" s="94">
        <v>0.77444478716841458</v>
      </c>
      <c r="S57" s="93" t="s">
        <v>209</v>
      </c>
      <c r="W57" s="37" t="s">
        <v>418</v>
      </c>
      <c r="X57" s="44" t="s">
        <v>145</v>
      </c>
      <c r="Y57" s="44">
        <v>15</v>
      </c>
      <c r="Z57" s="44" t="s">
        <v>461</v>
      </c>
      <c r="AA57" s="69">
        <v>0.76017780502759058</v>
      </c>
    </row>
    <row r="58" spans="1:27" ht="13.8" x14ac:dyDescent="0.3">
      <c r="A58" s="37" t="s">
        <v>304</v>
      </c>
      <c r="B58" s="44" t="s">
        <v>147</v>
      </c>
      <c r="C58" s="44">
        <v>13</v>
      </c>
      <c r="D58" s="44" t="s">
        <v>305</v>
      </c>
      <c r="E58" s="60">
        <f t="shared" si="6"/>
        <v>0.62481029959532464</v>
      </c>
      <c r="F58" s="355"/>
      <c r="Q58" s="93" t="s">
        <v>299</v>
      </c>
      <c r="R58" s="94">
        <v>0.92936836749527552</v>
      </c>
      <c r="S58" s="93" t="s">
        <v>208</v>
      </c>
      <c r="W58" s="37" t="s">
        <v>392</v>
      </c>
      <c r="X58" s="44" t="s">
        <v>145</v>
      </c>
      <c r="Y58" s="44">
        <v>15</v>
      </c>
      <c r="Z58" s="44" t="s">
        <v>393</v>
      </c>
      <c r="AA58" s="69">
        <v>0.73349447513812149</v>
      </c>
    </row>
    <row r="59" spans="1:27" ht="13.8" x14ac:dyDescent="0.3">
      <c r="A59" s="45" t="s">
        <v>310</v>
      </c>
      <c r="B59" s="46" t="s">
        <v>178</v>
      </c>
      <c r="C59" s="46">
        <v>12</v>
      </c>
      <c r="D59" s="46" t="s">
        <v>466</v>
      </c>
      <c r="E59" s="61">
        <f t="shared" si="6"/>
        <v>0.99461817608484948</v>
      </c>
      <c r="F59" s="355"/>
      <c r="Q59" s="93" t="s">
        <v>297</v>
      </c>
      <c r="R59" s="94">
        <v>0.66251692368655679</v>
      </c>
      <c r="S59" s="93" t="s">
        <v>209</v>
      </c>
      <c r="W59" s="37" t="s">
        <v>254</v>
      </c>
      <c r="X59" s="44" t="s">
        <v>146</v>
      </c>
      <c r="Y59" s="44">
        <v>14</v>
      </c>
      <c r="Z59" s="44" t="s">
        <v>255</v>
      </c>
      <c r="AA59" s="69">
        <v>0.71562826313957539</v>
      </c>
    </row>
    <row r="60" spans="1:27" ht="13.8" x14ac:dyDescent="0.3">
      <c r="A60" s="45" t="s">
        <v>421</v>
      </c>
      <c r="B60" s="46" t="s">
        <v>178</v>
      </c>
      <c r="C60" s="46">
        <v>12</v>
      </c>
      <c r="D60" s="46" t="s">
        <v>422</v>
      </c>
      <c r="E60" s="61">
        <f t="shared" si="6"/>
        <v>0.99533285779852521</v>
      </c>
      <c r="F60" s="355"/>
      <c r="Q60" s="93" t="s">
        <v>385</v>
      </c>
      <c r="R60" s="94">
        <v>0.93843994106691131</v>
      </c>
      <c r="S60" s="93" t="s">
        <v>208</v>
      </c>
      <c r="W60" s="37" t="s">
        <v>250</v>
      </c>
      <c r="X60" s="44" t="s">
        <v>147</v>
      </c>
      <c r="Y60" s="44">
        <v>13</v>
      </c>
      <c r="Z60" s="44" t="s">
        <v>251</v>
      </c>
      <c r="AA60" s="69">
        <v>0.68875112521618576</v>
      </c>
    </row>
    <row r="61" spans="1:27" ht="13.8" x14ac:dyDescent="0.3">
      <c r="A61" s="45" t="s">
        <v>308</v>
      </c>
      <c r="B61" s="46" t="s">
        <v>182</v>
      </c>
      <c r="C61" s="46">
        <v>10</v>
      </c>
      <c r="D61" s="46" t="s">
        <v>309</v>
      </c>
      <c r="E61" s="61">
        <f t="shared" si="6"/>
        <v>0.93520619672453054</v>
      </c>
      <c r="F61" s="355"/>
      <c r="Q61" s="93" t="s">
        <v>406</v>
      </c>
      <c r="R61" s="94">
        <v>0.83267459864721705</v>
      </c>
      <c r="S61" s="93" t="s">
        <v>208</v>
      </c>
      <c r="W61" s="37" t="s">
        <v>296</v>
      </c>
      <c r="X61" s="44" t="s">
        <v>145</v>
      </c>
      <c r="Y61" s="44">
        <v>15</v>
      </c>
      <c r="Z61" s="44" t="s">
        <v>297</v>
      </c>
      <c r="AA61" s="69">
        <v>0.66251692368655679</v>
      </c>
    </row>
    <row r="62" spans="1:27" ht="14.4" thickBot="1" x14ac:dyDescent="0.35">
      <c r="A62" s="150" t="s">
        <v>381</v>
      </c>
      <c r="B62" s="151" t="s">
        <v>192</v>
      </c>
      <c r="C62" s="151">
        <v>5</v>
      </c>
      <c r="D62" s="151" t="s">
        <v>467</v>
      </c>
      <c r="E62" s="152">
        <f t="shared" si="6"/>
        <v>0.11951366732775717</v>
      </c>
      <c r="F62" s="355"/>
      <c r="Q62" s="93" t="s">
        <v>400</v>
      </c>
      <c r="R62" s="94">
        <v>0.98872477714287255</v>
      </c>
      <c r="S62" s="93" t="s">
        <v>208</v>
      </c>
      <c r="W62" s="37" t="s">
        <v>280</v>
      </c>
      <c r="X62" s="44" t="s">
        <v>147</v>
      </c>
      <c r="Y62" s="44">
        <v>13</v>
      </c>
      <c r="Z62" s="44" t="s">
        <v>281</v>
      </c>
      <c r="AA62" s="69">
        <v>0.64970550208303401</v>
      </c>
    </row>
    <row r="63" spans="1:27" ht="13.8" x14ac:dyDescent="0.3">
      <c r="A63" s="37" t="s">
        <v>474</v>
      </c>
      <c r="B63" s="44" t="s">
        <v>167</v>
      </c>
      <c r="C63" s="44">
        <v>19</v>
      </c>
      <c r="D63" s="44" t="s">
        <v>471</v>
      </c>
      <c r="E63" s="60">
        <f t="shared" si="6"/>
        <v>0.78418126509511765</v>
      </c>
      <c r="F63" s="355"/>
      <c r="Q63" s="93" t="s">
        <v>469</v>
      </c>
      <c r="R63" s="94">
        <v>0.97036252976978032</v>
      </c>
      <c r="S63" s="93" t="s">
        <v>208</v>
      </c>
      <c r="W63" s="37" t="s">
        <v>371</v>
      </c>
      <c r="X63" s="44" t="s">
        <v>144</v>
      </c>
      <c r="Y63" s="44">
        <v>16</v>
      </c>
      <c r="Z63" s="44" t="s">
        <v>199</v>
      </c>
      <c r="AA63" s="69">
        <v>0.63157463237392464</v>
      </c>
    </row>
    <row r="64" spans="1:27" ht="13.8" x14ac:dyDescent="0.3">
      <c r="A64" s="37" t="s">
        <v>472</v>
      </c>
      <c r="B64" s="44" t="s">
        <v>171</v>
      </c>
      <c r="C64" s="44">
        <v>17</v>
      </c>
      <c r="D64" s="44" t="s">
        <v>463</v>
      </c>
      <c r="E64" s="60">
        <f t="shared" si="6"/>
        <v>0.89001113183270453</v>
      </c>
      <c r="F64" s="355"/>
      <c r="Q64" s="93" t="s">
        <v>301</v>
      </c>
      <c r="R64" s="94">
        <v>0.98538704581358605</v>
      </c>
      <c r="S64" s="93" t="s">
        <v>208</v>
      </c>
      <c r="W64" s="37" t="s">
        <v>475</v>
      </c>
      <c r="X64" s="44" t="s">
        <v>147</v>
      </c>
      <c r="Y64" s="44">
        <v>13</v>
      </c>
      <c r="Z64" s="44" t="s">
        <v>458</v>
      </c>
      <c r="AA64" s="69">
        <v>0.62875460562079877</v>
      </c>
    </row>
    <row r="65" spans="1:27" ht="13.8" x14ac:dyDescent="0.3">
      <c r="A65" s="45" t="s">
        <v>468</v>
      </c>
      <c r="B65" s="46" t="s">
        <v>178</v>
      </c>
      <c r="C65" s="46">
        <v>12</v>
      </c>
      <c r="D65" s="46" t="s">
        <v>469</v>
      </c>
      <c r="E65" s="61">
        <f t="shared" si="6"/>
        <v>0.97036252976978032</v>
      </c>
      <c r="F65" s="355"/>
      <c r="Q65" s="93" t="s">
        <v>356</v>
      </c>
      <c r="R65" s="94">
        <v>0.975461842272901</v>
      </c>
      <c r="S65" s="93" t="s">
        <v>208</v>
      </c>
      <c r="W65" s="37" t="s">
        <v>304</v>
      </c>
      <c r="X65" s="44" t="s">
        <v>147</v>
      </c>
      <c r="Y65" s="44">
        <v>13</v>
      </c>
      <c r="Z65" s="44" t="s">
        <v>305</v>
      </c>
      <c r="AA65" s="69">
        <v>0.62481029959532464</v>
      </c>
    </row>
    <row r="66" spans="1:27" ht="13.8" x14ac:dyDescent="0.3">
      <c r="A66" s="37" t="s">
        <v>434</v>
      </c>
      <c r="B66" s="47" t="s">
        <v>433</v>
      </c>
      <c r="C66" s="47"/>
      <c r="D66" s="44" t="s">
        <v>435</v>
      </c>
      <c r="E66" s="69">
        <f t="shared" si="6"/>
        <v>0.99609846555590886</v>
      </c>
      <c r="F66" s="5"/>
      <c r="Q66" s="93" t="s">
        <v>253</v>
      </c>
      <c r="R66" s="94">
        <v>0.91865112788863534</v>
      </c>
      <c r="S66" s="93" t="s">
        <v>208</v>
      </c>
      <c r="W66" s="37" t="s">
        <v>248</v>
      </c>
      <c r="X66" s="44" t="s">
        <v>145</v>
      </c>
      <c r="Y66" s="44">
        <v>15</v>
      </c>
      <c r="Z66" s="44" t="s">
        <v>249</v>
      </c>
      <c r="AA66" s="69">
        <v>0.61841824770837783</v>
      </c>
    </row>
    <row r="67" spans="1:27" ht="14.4" thickBot="1" x14ac:dyDescent="0.35">
      <c r="A67" s="53" t="s">
        <v>300</v>
      </c>
      <c r="B67" s="54" t="s">
        <v>433</v>
      </c>
      <c r="C67" s="54"/>
      <c r="D67" s="54" t="s">
        <v>301</v>
      </c>
      <c r="E67" s="63">
        <f t="shared" si="6"/>
        <v>0.98538704581358605</v>
      </c>
      <c r="F67" s="5"/>
      <c r="Q67" s="93" t="s">
        <v>365</v>
      </c>
      <c r="R67" s="94">
        <v>1</v>
      </c>
      <c r="S67" s="93" t="s">
        <v>208</v>
      </c>
      <c r="W67" s="37" t="s">
        <v>274</v>
      </c>
      <c r="X67" s="44" t="s">
        <v>146</v>
      </c>
      <c r="Y67" s="44">
        <v>14</v>
      </c>
      <c r="Z67" s="44" t="s">
        <v>275</v>
      </c>
      <c r="AA67" s="69">
        <v>0.58646630934150079</v>
      </c>
    </row>
    <row r="68" spans="1:27" ht="13.8" x14ac:dyDescent="0.3">
      <c r="A68" s="41" t="s">
        <v>316</v>
      </c>
      <c r="B68" s="43" t="s">
        <v>146</v>
      </c>
      <c r="C68" s="42">
        <f>AVERAGE(C7:C62)</f>
        <v>14.214285714285714</v>
      </c>
      <c r="D68" s="42"/>
      <c r="E68" s="42"/>
      <c r="F68" s="5"/>
      <c r="G68" s="122"/>
      <c r="Q68" s="93" t="s">
        <v>257</v>
      </c>
      <c r="R68" s="94">
        <v>0.94700000000000006</v>
      </c>
      <c r="S68" s="93" t="s">
        <v>208</v>
      </c>
      <c r="W68" s="37" t="s">
        <v>278</v>
      </c>
      <c r="X68" s="44" t="s">
        <v>147</v>
      </c>
      <c r="Y68" s="44">
        <v>13</v>
      </c>
      <c r="Z68" s="44" t="s">
        <v>279</v>
      </c>
      <c r="AA68" s="69">
        <v>0.57845507252191697</v>
      </c>
    </row>
    <row r="69" spans="1:27" ht="13.8" x14ac:dyDescent="0.3">
      <c r="A69" s="3"/>
      <c r="B69" s="3"/>
      <c r="F69" s="5"/>
      <c r="Q69" s="93"/>
      <c r="R69" s="94"/>
      <c r="S69" s="93"/>
      <c r="W69" s="37" t="s">
        <v>294</v>
      </c>
      <c r="X69" s="44" t="s">
        <v>146</v>
      </c>
      <c r="Y69" s="44">
        <v>14</v>
      </c>
      <c r="Z69" s="44" t="s">
        <v>295</v>
      </c>
      <c r="AA69" s="69">
        <v>0.5641445718679996</v>
      </c>
    </row>
    <row r="70" spans="1:27" ht="13.8" x14ac:dyDescent="0.3">
      <c r="A70" s="3"/>
      <c r="B70" s="3"/>
      <c r="F70" s="9"/>
      <c r="G70" s="122"/>
      <c r="Q70" s="93"/>
      <c r="R70" s="94"/>
      <c r="S70" s="93"/>
      <c r="W70" s="37" t="s">
        <v>245</v>
      </c>
      <c r="X70" s="44" t="s">
        <v>144</v>
      </c>
      <c r="Y70" s="44">
        <v>16</v>
      </c>
      <c r="Z70" s="44" t="s">
        <v>246</v>
      </c>
      <c r="AA70" s="69">
        <v>0.541533003736272</v>
      </c>
    </row>
    <row r="71" spans="1:27" ht="13.8" x14ac:dyDescent="0.3">
      <c r="A71" s="48" t="s">
        <v>317</v>
      </c>
      <c r="F71" s="9"/>
      <c r="Q71" s="49"/>
      <c r="R71" s="58"/>
      <c r="S71" s="49"/>
      <c r="W71" s="37" t="s">
        <v>284</v>
      </c>
      <c r="X71" s="44" t="s">
        <v>147</v>
      </c>
      <c r="Y71" s="44">
        <v>13</v>
      </c>
      <c r="Z71" s="44" t="s">
        <v>285</v>
      </c>
      <c r="AA71" s="69">
        <v>0.47637430521244206</v>
      </c>
    </row>
    <row r="72" spans="1:27" ht="13.8" x14ac:dyDescent="0.3">
      <c r="A72" s="48" t="s">
        <v>318</v>
      </c>
      <c r="B72" s="86"/>
      <c r="C72" s="86"/>
      <c r="D72" s="86"/>
      <c r="E72" s="86"/>
      <c r="F72" s="9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9">
        <v>0.36101059894989318</v>
      </c>
    </row>
    <row r="73" spans="1:27" ht="13.8" x14ac:dyDescent="0.3">
      <c r="A73" s="85" t="s">
        <v>429</v>
      </c>
      <c r="B73" s="86"/>
      <c r="C73" s="86"/>
      <c r="D73" s="86"/>
      <c r="E73" s="86"/>
      <c r="F73" s="87"/>
      <c r="Q73" s="49"/>
      <c r="R73" s="58"/>
      <c r="S73" s="49"/>
      <c r="W73" s="37" t="s">
        <v>473</v>
      </c>
      <c r="X73" s="44" t="s">
        <v>147</v>
      </c>
      <c r="Y73" s="44">
        <v>13</v>
      </c>
      <c r="Z73" s="44" t="s">
        <v>462</v>
      </c>
      <c r="AA73" s="69">
        <v>0.33305692234682915</v>
      </c>
    </row>
    <row r="74" spans="1:27" ht="14.4" thickBot="1" x14ac:dyDescent="0.35">
      <c r="A74" s="85" t="s">
        <v>319</v>
      </c>
      <c r="B74" s="86"/>
      <c r="C74" s="86"/>
      <c r="D74" s="86"/>
      <c r="E74" s="86"/>
      <c r="F74" s="87"/>
      <c r="Q74" s="49"/>
      <c r="R74" s="58"/>
      <c r="S74" s="49"/>
      <c r="W74" s="53" t="s">
        <v>381</v>
      </c>
      <c r="X74" s="57" t="s">
        <v>192</v>
      </c>
      <c r="Y74" s="57">
        <v>5</v>
      </c>
      <c r="Z74" s="57" t="s">
        <v>467</v>
      </c>
      <c r="AA74" s="111">
        <v>0.11951366732775717</v>
      </c>
    </row>
    <row r="75" spans="1:27" ht="13.8" x14ac:dyDescent="0.3">
      <c r="A75" s="85" t="s">
        <v>476</v>
      </c>
      <c r="D75" s="9"/>
      <c r="F75" s="87"/>
      <c r="Q75" s="49"/>
      <c r="R75" s="58"/>
      <c r="S75" s="49"/>
    </row>
    <row r="76" spans="1:27" ht="13.8" x14ac:dyDescent="0.3">
      <c r="A76" s="48" t="s">
        <v>320</v>
      </c>
      <c r="D76" s="9"/>
      <c r="Q76" s="49"/>
      <c r="R76" s="58"/>
      <c r="S76" s="49"/>
    </row>
    <row r="77" spans="1:27" ht="13.8" x14ac:dyDescent="0.3">
      <c r="A77" s="48"/>
      <c r="D77" s="9"/>
      <c r="Q77" s="49"/>
      <c r="R77" s="59"/>
      <c r="S77" s="49"/>
    </row>
    <row r="78" spans="1:27" x14ac:dyDescent="0.25">
      <c r="A78" s="48"/>
    </row>
    <row r="79" spans="1:27" x14ac:dyDescent="0.2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A80"/>
      <c r="B80"/>
      <c r="C80"/>
      <c r="D80"/>
      <c r="E80"/>
      <c r="F80"/>
      <c r="Q80"/>
      <c r="R80"/>
      <c r="S80"/>
      <c r="AA80" s="88"/>
    </row>
    <row r="81" spans="1:27" s="86" customFormat="1" x14ac:dyDescent="0.25">
      <c r="AA81" s="88"/>
    </row>
    <row r="82" spans="1:27" s="86" customFormat="1" x14ac:dyDescent="0.2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5">
      <c r="Q83" s="86"/>
      <c r="R83" s="86"/>
      <c r="S83" s="86"/>
      <c r="AA83"/>
    </row>
    <row r="84" spans="1:27" x14ac:dyDescent="0.25">
      <c r="AA84"/>
    </row>
    <row r="87" spans="1:27" x14ac:dyDescent="0.25">
      <c r="E87" s="74"/>
    </row>
    <row r="88" spans="1:27" x14ac:dyDescent="0.2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2060"/>
    <pageSetUpPr fitToPage="1"/>
  </sheetPr>
  <dimension ref="A1:AH84"/>
  <sheetViews>
    <sheetView zoomScale="80" zoomScaleNormal="80" workbookViewId="0">
      <selection activeCell="A7" sqref="A7"/>
    </sheetView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481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444</v>
      </c>
      <c r="AA5" s="65" t="s">
        <v>444</v>
      </c>
      <c r="AF5" s="82" t="s">
        <v>445</v>
      </c>
      <c r="AG5" s="81"/>
    </row>
    <row r="6" spans="1:33" ht="13.8" x14ac:dyDescent="0.3">
      <c r="A6" s="101" t="s">
        <v>217</v>
      </c>
      <c r="B6" s="102" t="s">
        <v>482</v>
      </c>
      <c r="C6" s="103"/>
      <c r="D6" s="103"/>
      <c r="E6" s="104">
        <v>40543</v>
      </c>
      <c r="W6" s="101" t="s">
        <v>217</v>
      </c>
      <c r="X6" s="102" t="s">
        <v>482</v>
      </c>
      <c r="Y6" s="103"/>
      <c r="Z6" s="103"/>
      <c r="AA6" s="104">
        <v>40543</v>
      </c>
      <c r="AC6" s="67" t="s">
        <v>141</v>
      </c>
      <c r="AD6" s="68"/>
      <c r="AE6" s="68"/>
      <c r="AF6" s="42">
        <f>AVERAGE(Y$13:Y$51)</f>
        <v>14.324324324324325</v>
      </c>
      <c r="AG6" s="79"/>
    </row>
    <row r="7" spans="1:33" ht="14.4" thickBot="1" x14ac:dyDescent="0.35">
      <c r="A7" s="45" t="s">
        <v>441</v>
      </c>
      <c r="B7" s="46" t="s">
        <v>169</v>
      </c>
      <c r="C7" s="46">
        <v>18</v>
      </c>
      <c r="D7" s="46" t="s">
        <v>442</v>
      </c>
      <c r="E7" s="61">
        <f t="shared" ref="E7:E14" si="0">VLOOKUP($D7,$Q$7:$R$68,2,0)</f>
        <v>1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0.84669359982989578</v>
      </c>
      <c r="S7" s="93" t="s">
        <v>208</v>
      </c>
      <c r="W7" s="45" t="s">
        <v>447</v>
      </c>
      <c r="X7" s="46" t="s">
        <v>144</v>
      </c>
      <c r="Y7" s="46">
        <v>16</v>
      </c>
      <c r="Z7" s="46" t="s">
        <v>448</v>
      </c>
      <c r="AA7" s="61" t="s">
        <v>433</v>
      </c>
      <c r="AC7" s="57" t="s">
        <v>215</v>
      </c>
      <c r="AD7" s="57" t="s">
        <v>139</v>
      </c>
      <c r="AE7" s="57" t="s">
        <v>140</v>
      </c>
      <c r="AG7" s="80"/>
    </row>
    <row r="8" spans="1:33" ht="13.8" x14ac:dyDescent="0.3">
      <c r="A8" s="37" t="s">
        <v>298</v>
      </c>
      <c r="B8" s="44" t="s">
        <v>171</v>
      </c>
      <c r="C8" s="44">
        <v>17</v>
      </c>
      <c r="D8" s="44" t="s">
        <v>299</v>
      </c>
      <c r="E8" s="60">
        <f t="shared" si="0"/>
        <v>0.92936836749527552</v>
      </c>
      <c r="F8" s="355"/>
      <c r="G8" s="37" t="s">
        <v>142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228</v>
      </c>
      <c r="R8" s="94">
        <v>0.96680210088197405</v>
      </c>
      <c r="S8" s="93" t="s">
        <v>208</v>
      </c>
      <c r="W8" s="45" t="s">
        <v>449</v>
      </c>
      <c r="X8" s="46" t="s">
        <v>144</v>
      </c>
      <c r="Y8" s="46">
        <v>16</v>
      </c>
      <c r="Z8" s="46" t="s">
        <v>450</v>
      </c>
      <c r="AA8" s="61" t="s">
        <v>433</v>
      </c>
      <c r="AC8" s="37" t="s">
        <v>142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8" x14ac:dyDescent="0.3">
      <c r="A9" s="45" t="s">
        <v>232</v>
      </c>
      <c r="B9" s="46" t="s">
        <v>144</v>
      </c>
      <c r="C9" s="46">
        <v>16</v>
      </c>
      <c r="D9" s="46" t="s">
        <v>233</v>
      </c>
      <c r="E9" s="61">
        <f t="shared" si="0"/>
        <v>0.89318320146074259</v>
      </c>
      <c r="F9" s="355"/>
      <c r="G9" s="37" t="s">
        <v>144</v>
      </c>
      <c r="H9" s="49">
        <f>COUNTIF(C$7:C$67,"=16")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451</v>
      </c>
      <c r="R9" s="94">
        <v>1</v>
      </c>
      <c r="S9" s="93" t="s">
        <v>208</v>
      </c>
      <c r="W9" s="37" t="s">
        <v>452</v>
      </c>
      <c r="X9" s="44" t="s">
        <v>145</v>
      </c>
      <c r="Y9" s="44">
        <v>15</v>
      </c>
      <c r="Z9" s="44" t="s">
        <v>453</v>
      </c>
      <c r="AA9" s="60" t="s">
        <v>433</v>
      </c>
      <c r="AC9" s="37" t="s">
        <v>144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ht="13.8" x14ac:dyDescent="0.3">
      <c r="A10" s="45" t="s">
        <v>371</v>
      </c>
      <c r="B10" s="46" t="s">
        <v>144</v>
      </c>
      <c r="C10" s="46">
        <v>16</v>
      </c>
      <c r="D10" s="46" t="s">
        <v>199</v>
      </c>
      <c r="E10" s="61">
        <f t="shared" si="0"/>
        <v>0.63157463237392464</v>
      </c>
      <c r="F10" s="355"/>
      <c r="G10" s="37" t="s">
        <v>145</v>
      </c>
      <c r="H10" s="49">
        <f>COUNTIF(C$7:C$67,"=15")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223</v>
      </c>
      <c r="R10" s="94">
        <v>0.91042888352305396</v>
      </c>
      <c r="S10" s="93" t="s">
        <v>208</v>
      </c>
      <c r="W10" s="37" t="s">
        <v>454</v>
      </c>
      <c r="X10" s="44" t="s">
        <v>145</v>
      </c>
      <c r="Y10" s="44">
        <v>15</v>
      </c>
      <c r="Z10" s="44" t="s">
        <v>455</v>
      </c>
      <c r="AA10" s="60" t="s">
        <v>433</v>
      </c>
      <c r="AC10" s="37" t="s">
        <v>145</v>
      </c>
      <c r="AD10" s="49">
        <f>COUNTIF(Y$13:Y$51,"=15")</f>
        <v>7</v>
      </c>
      <c r="AE10" s="50">
        <f t="shared" si="2"/>
        <v>0.1891891891891892</v>
      </c>
      <c r="AG10" s="80"/>
    </row>
    <row r="11" spans="1:33" ht="13.8" x14ac:dyDescent="0.3">
      <c r="A11" s="45" t="s">
        <v>264</v>
      </c>
      <c r="B11" s="46" t="s">
        <v>144</v>
      </c>
      <c r="C11" s="46">
        <v>16</v>
      </c>
      <c r="D11" s="46" t="s">
        <v>464</v>
      </c>
      <c r="E11" s="61">
        <f t="shared" si="0"/>
        <v>1</v>
      </c>
      <c r="F11" s="355"/>
      <c r="G11" s="37" t="s">
        <v>146</v>
      </c>
      <c r="H11" s="49">
        <f>COUNTIF(C$7:C$67,"=14")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244</v>
      </c>
      <c r="R11" s="94">
        <v>0.91095138568993894</v>
      </c>
      <c r="S11" s="93" t="s">
        <v>208</v>
      </c>
      <c r="W11" s="45" t="s">
        <v>456</v>
      </c>
      <c r="X11" s="46" t="s">
        <v>146</v>
      </c>
      <c r="Y11" s="46">
        <v>14</v>
      </c>
      <c r="Z11" s="46" t="s">
        <v>457</v>
      </c>
      <c r="AA11" s="61" t="s">
        <v>433</v>
      </c>
      <c r="AC11" s="37" t="s">
        <v>146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ht="13.8" x14ac:dyDescent="0.3">
      <c r="A12" s="45" t="s">
        <v>268</v>
      </c>
      <c r="B12" s="46" t="s">
        <v>144</v>
      </c>
      <c r="C12" s="46">
        <v>16</v>
      </c>
      <c r="D12" s="46" t="s">
        <v>269</v>
      </c>
      <c r="E12" s="61">
        <f t="shared" si="0"/>
        <v>0.76510407852428497</v>
      </c>
      <c r="F12" s="355"/>
      <c r="G12" s="37" t="s">
        <v>147</v>
      </c>
      <c r="H12" s="49">
        <f>COUNTIF(C$7:C$67,"=13")</f>
        <v>12</v>
      </c>
      <c r="I12" s="50">
        <f t="shared" si="1"/>
        <v>0.20338983050847459</v>
      </c>
      <c r="Q12" s="93" t="s">
        <v>458</v>
      </c>
      <c r="R12" s="94">
        <v>0.62875460562079877</v>
      </c>
      <c r="S12" s="93" t="s">
        <v>209</v>
      </c>
      <c r="W12" s="37" t="s">
        <v>459</v>
      </c>
      <c r="X12" s="44" t="s">
        <v>147</v>
      </c>
      <c r="Y12" s="44">
        <v>13</v>
      </c>
      <c r="Z12" s="44" t="s">
        <v>460</v>
      </c>
      <c r="AA12" s="60" t="s">
        <v>433</v>
      </c>
      <c r="AC12" s="37" t="s">
        <v>147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4.4" thickBot="1" x14ac:dyDescent="0.35">
      <c r="A13" s="45" t="s">
        <v>470</v>
      </c>
      <c r="B13" s="46" t="s">
        <v>144</v>
      </c>
      <c r="C13" s="46">
        <v>16</v>
      </c>
      <c r="D13" s="46" t="s">
        <v>465</v>
      </c>
      <c r="E13" s="61">
        <f t="shared" si="0"/>
        <v>0.96341849943457658</v>
      </c>
      <c r="F13" s="355"/>
      <c r="G13" s="53" t="s">
        <v>148</v>
      </c>
      <c r="H13" s="55">
        <f>COUNTIF(C$7:C$67,"&lt;13")</f>
        <v>5</v>
      </c>
      <c r="I13" s="56">
        <f t="shared" si="1"/>
        <v>8.4745762711864403E-2</v>
      </c>
      <c r="Q13" s="93" t="s">
        <v>251</v>
      </c>
      <c r="R13" s="94">
        <v>0.68875112521618576</v>
      </c>
      <c r="S13" s="93" t="s">
        <v>209</v>
      </c>
      <c r="W13" s="45" t="s">
        <v>362</v>
      </c>
      <c r="X13" s="46" t="s">
        <v>146</v>
      </c>
      <c r="Y13" s="46">
        <v>14</v>
      </c>
      <c r="Z13" s="46" t="s">
        <v>363</v>
      </c>
      <c r="AA13" s="61">
        <v>1.0379329114785329</v>
      </c>
      <c r="AC13" s="53" t="s">
        <v>148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8" x14ac:dyDescent="0.3">
      <c r="A14" s="45" t="s">
        <v>245</v>
      </c>
      <c r="B14" s="46" t="s">
        <v>144</v>
      </c>
      <c r="C14" s="46">
        <v>16</v>
      </c>
      <c r="D14" s="46" t="s">
        <v>246</v>
      </c>
      <c r="E14" s="61">
        <f t="shared" si="0"/>
        <v>0.541533003736272</v>
      </c>
      <c r="F14" s="355"/>
      <c r="G14" s="41" t="s">
        <v>149</v>
      </c>
      <c r="H14" s="51">
        <f>SUM(H8:H13)</f>
        <v>59</v>
      </c>
      <c r="I14" s="52">
        <f t="shared" si="1"/>
        <v>1</v>
      </c>
      <c r="Q14" s="93" t="s">
        <v>461</v>
      </c>
      <c r="R14" s="94">
        <v>0.76017780502759058</v>
      </c>
      <c r="S14" s="93" t="s">
        <v>209</v>
      </c>
      <c r="W14" s="37" t="s">
        <v>377</v>
      </c>
      <c r="X14" s="44" t="s">
        <v>147</v>
      </c>
      <c r="Y14" s="44">
        <v>13</v>
      </c>
      <c r="Z14" s="44" t="s">
        <v>378</v>
      </c>
      <c r="AA14" s="60">
        <v>1.0292149475019923</v>
      </c>
      <c r="AC14" s="41" t="s">
        <v>149</v>
      </c>
      <c r="AD14" s="51">
        <f>SUM(AD8:AD13)</f>
        <v>37</v>
      </c>
      <c r="AE14" s="52">
        <f t="shared" si="2"/>
        <v>1</v>
      </c>
      <c r="AG14" s="80"/>
    </row>
    <row r="15" spans="1:33" ht="13.8" x14ac:dyDescent="0.3">
      <c r="A15" s="45" t="s">
        <v>355</v>
      </c>
      <c r="B15" s="46" t="s">
        <v>144</v>
      </c>
      <c r="C15" s="46">
        <v>16</v>
      </c>
      <c r="D15" s="46" t="s">
        <v>356</v>
      </c>
      <c r="E15" s="61">
        <f t="shared" ref="E15:E46" si="3">VLOOKUP($D15,$Q$7:$R$68,2,0)</f>
        <v>0.975461842272901</v>
      </c>
      <c r="F15" s="355"/>
      <c r="K15" s="5"/>
      <c r="Q15" s="93" t="s">
        <v>462</v>
      </c>
      <c r="R15" s="94">
        <v>0.33305692234682915</v>
      </c>
      <c r="S15" s="93" t="s">
        <v>199</v>
      </c>
      <c r="W15" s="45" t="s">
        <v>441</v>
      </c>
      <c r="X15" s="46" t="s">
        <v>169</v>
      </c>
      <c r="Y15" s="46">
        <v>18</v>
      </c>
      <c r="Z15" s="46" t="s">
        <v>442</v>
      </c>
      <c r="AA15" s="61">
        <v>1</v>
      </c>
      <c r="AG15" s="80"/>
    </row>
    <row r="16" spans="1:33" ht="13.8" x14ac:dyDescent="0.3">
      <c r="A16" s="45" t="s">
        <v>256</v>
      </c>
      <c r="B16" s="46" t="s">
        <v>144</v>
      </c>
      <c r="C16" s="46">
        <v>16</v>
      </c>
      <c r="D16" s="46" t="s">
        <v>257</v>
      </c>
      <c r="E16" s="61">
        <f t="shared" si="3"/>
        <v>0.94700000000000006</v>
      </c>
      <c r="F16" s="355"/>
      <c r="K16" s="5"/>
      <c r="Q16" s="93" t="s">
        <v>463</v>
      </c>
      <c r="R16" s="94">
        <v>0.89001113183270453</v>
      </c>
      <c r="S16" s="93" t="s">
        <v>208</v>
      </c>
      <c r="W16" s="45" t="s">
        <v>264</v>
      </c>
      <c r="X16" s="46" t="s">
        <v>144</v>
      </c>
      <c r="Y16" s="46">
        <v>16</v>
      </c>
      <c r="Z16" s="46" t="s">
        <v>464</v>
      </c>
      <c r="AA16" s="61">
        <v>1</v>
      </c>
      <c r="AG16" s="80"/>
    </row>
    <row r="17" spans="1:33" ht="13.8" x14ac:dyDescent="0.3">
      <c r="A17" s="37" t="s">
        <v>222</v>
      </c>
      <c r="B17" s="44" t="s">
        <v>145</v>
      </c>
      <c r="C17" s="44">
        <v>15</v>
      </c>
      <c r="D17" s="44" t="s">
        <v>223</v>
      </c>
      <c r="E17" s="60">
        <f t="shared" si="3"/>
        <v>0.91042888352305396</v>
      </c>
      <c r="F17" s="355"/>
      <c r="K17" s="5"/>
      <c r="Q17" s="93" t="s">
        <v>262</v>
      </c>
      <c r="R17" s="94">
        <v>0.89235399590163933</v>
      </c>
      <c r="S17" s="93" t="s">
        <v>208</v>
      </c>
      <c r="W17" s="45" t="s">
        <v>338</v>
      </c>
      <c r="X17" s="46" t="s">
        <v>146</v>
      </c>
      <c r="Y17" s="46">
        <v>14</v>
      </c>
      <c r="Z17" s="46" t="s">
        <v>341</v>
      </c>
      <c r="AA17" s="61">
        <v>1</v>
      </c>
      <c r="AC17" s="67" t="s">
        <v>150</v>
      </c>
      <c r="AD17" s="68"/>
      <c r="AE17" s="68"/>
      <c r="AF17" s="42">
        <f>AVERAGE(Y$52:Y$70)</f>
        <v>14.578947368421053</v>
      </c>
      <c r="AG17" s="79"/>
    </row>
    <row r="18" spans="1:33" ht="14.4" thickBot="1" x14ac:dyDescent="0.35">
      <c r="A18" s="37" t="s">
        <v>224</v>
      </c>
      <c r="B18" s="44" t="s">
        <v>145</v>
      </c>
      <c r="C18" s="44">
        <v>15</v>
      </c>
      <c r="D18" s="44" t="s">
        <v>225</v>
      </c>
      <c r="E18" s="60">
        <f t="shared" si="3"/>
        <v>0.86662573118314323</v>
      </c>
      <c r="F18" s="355"/>
      <c r="K18" s="5"/>
      <c r="Q18" s="93" t="s">
        <v>388</v>
      </c>
      <c r="R18" s="94">
        <v>0.91199977892108686</v>
      </c>
      <c r="S18" s="93" t="s">
        <v>208</v>
      </c>
      <c r="W18" s="45" t="s">
        <v>290</v>
      </c>
      <c r="X18" s="46" t="s">
        <v>146</v>
      </c>
      <c r="Y18" s="46">
        <v>14</v>
      </c>
      <c r="Z18" s="46" t="s">
        <v>291</v>
      </c>
      <c r="AA18" s="61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3.8" x14ac:dyDescent="0.3">
      <c r="A19" s="37" t="s">
        <v>266</v>
      </c>
      <c r="B19" s="44" t="s">
        <v>145</v>
      </c>
      <c r="C19" s="44">
        <v>15</v>
      </c>
      <c r="D19" s="44" t="s">
        <v>267</v>
      </c>
      <c r="E19" s="69">
        <f t="shared" si="3"/>
        <v>0.81254016709511567</v>
      </c>
      <c r="F19" s="355"/>
      <c r="K19" s="5"/>
      <c r="Q19" s="93" t="s">
        <v>255</v>
      </c>
      <c r="R19" s="94">
        <v>0.71562826313957539</v>
      </c>
      <c r="S19" s="93" t="s">
        <v>209</v>
      </c>
      <c r="W19" s="45" t="s">
        <v>364</v>
      </c>
      <c r="X19" s="46" t="s">
        <v>146</v>
      </c>
      <c r="Y19" s="46">
        <v>14</v>
      </c>
      <c r="Z19" s="46" t="s">
        <v>365</v>
      </c>
      <c r="AA19" s="61">
        <v>1</v>
      </c>
      <c r="AC19" s="37" t="s">
        <v>142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8" x14ac:dyDescent="0.3">
      <c r="A20" s="37" t="s">
        <v>405</v>
      </c>
      <c r="B20" s="44" t="s">
        <v>145</v>
      </c>
      <c r="C20" s="44">
        <v>15</v>
      </c>
      <c r="D20" s="44" t="s">
        <v>406</v>
      </c>
      <c r="E20" s="60">
        <f t="shared" si="3"/>
        <v>0.83267459864721705</v>
      </c>
      <c r="F20" s="355"/>
      <c r="K20" s="5"/>
      <c r="Q20" s="93" t="s">
        <v>435</v>
      </c>
      <c r="R20" s="94">
        <v>0.99609846555590886</v>
      </c>
      <c r="S20" s="93" t="s">
        <v>208</v>
      </c>
      <c r="W20" s="37" t="s">
        <v>292</v>
      </c>
      <c r="X20" s="44" t="s">
        <v>147</v>
      </c>
      <c r="Y20" s="44">
        <v>13</v>
      </c>
      <c r="Z20" s="44" t="s">
        <v>451</v>
      </c>
      <c r="AA20" s="60">
        <v>1</v>
      </c>
      <c r="AC20" s="37" t="s">
        <v>144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8" x14ac:dyDescent="0.3">
      <c r="A21" s="37" t="s">
        <v>276</v>
      </c>
      <c r="B21" s="44" t="s">
        <v>145</v>
      </c>
      <c r="C21" s="44">
        <v>15</v>
      </c>
      <c r="D21" s="44" t="s">
        <v>277</v>
      </c>
      <c r="E21" s="60">
        <f t="shared" si="3"/>
        <v>0.36101059894989318</v>
      </c>
      <c r="F21" s="355"/>
      <c r="Q21" s="93" t="s">
        <v>199</v>
      </c>
      <c r="R21" s="94">
        <v>0.63157463237392464</v>
      </c>
      <c r="S21" s="93" t="s">
        <v>209</v>
      </c>
      <c r="W21" s="37" t="s">
        <v>306</v>
      </c>
      <c r="X21" s="44" t="s">
        <v>145</v>
      </c>
      <c r="Y21" s="44">
        <v>15</v>
      </c>
      <c r="Z21" s="44" t="s">
        <v>307</v>
      </c>
      <c r="AA21" s="60">
        <v>0.99967409016838671</v>
      </c>
      <c r="AC21" s="37" t="s">
        <v>145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8" x14ac:dyDescent="0.3">
      <c r="A22" s="37" t="s">
        <v>418</v>
      </c>
      <c r="B22" s="44" t="s">
        <v>145</v>
      </c>
      <c r="C22" s="44">
        <v>15</v>
      </c>
      <c r="D22" s="44" t="s">
        <v>461</v>
      </c>
      <c r="E22" s="60">
        <f t="shared" si="3"/>
        <v>0.76017780502759058</v>
      </c>
      <c r="F22" s="355"/>
      <c r="Q22" s="93" t="s">
        <v>464</v>
      </c>
      <c r="R22" s="94">
        <v>1</v>
      </c>
      <c r="S22" s="93" t="s">
        <v>208</v>
      </c>
      <c r="W22" s="37" t="s">
        <v>434</v>
      </c>
      <c r="X22" s="47" t="s">
        <v>433</v>
      </c>
      <c r="Y22" s="47"/>
      <c r="Z22" s="44" t="s">
        <v>435</v>
      </c>
      <c r="AA22" s="69">
        <v>0.99609846555590886</v>
      </c>
      <c r="AC22" s="37" t="s">
        <v>146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8" x14ac:dyDescent="0.3">
      <c r="A23" s="37" t="s">
        <v>282</v>
      </c>
      <c r="B23" s="44" t="s">
        <v>145</v>
      </c>
      <c r="C23" s="44">
        <v>15</v>
      </c>
      <c r="D23" s="44" t="s">
        <v>283</v>
      </c>
      <c r="E23" s="60">
        <f t="shared" si="3"/>
        <v>0.76907329412838532</v>
      </c>
      <c r="F23" s="355"/>
      <c r="Q23" s="93" t="s">
        <v>267</v>
      </c>
      <c r="R23" s="94">
        <v>0.81254016709511567</v>
      </c>
      <c r="S23" s="93" t="s">
        <v>208</v>
      </c>
      <c r="W23" s="45" t="s">
        <v>302</v>
      </c>
      <c r="X23" s="46" t="s">
        <v>146</v>
      </c>
      <c r="Y23" s="46">
        <v>14</v>
      </c>
      <c r="Z23" s="46" t="s">
        <v>303</v>
      </c>
      <c r="AA23" s="61">
        <v>0.99569209153466032</v>
      </c>
      <c r="AC23" s="37" t="s">
        <v>147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" thickBot="1" x14ac:dyDescent="0.35">
      <c r="A24" s="37" t="s">
        <v>392</v>
      </c>
      <c r="B24" s="44" t="s">
        <v>145</v>
      </c>
      <c r="C24" s="44">
        <v>15</v>
      </c>
      <c r="D24" s="44" t="s">
        <v>393</v>
      </c>
      <c r="E24" s="69">
        <f t="shared" si="3"/>
        <v>0.73349447513812149</v>
      </c>
      <c r="F24" s="355"/>
      <c r="Q24" s="93" t="s">
        <v>269</v>
      </c>
      <c r="R24" s="94">
        <v>0.76510407852428497</v>
      </c>
      <c r="S24" s="93" t="s">
        <v>209</v>
      </c>
      <c r="W24" s="95" t="s">
        <v>421</v>
      </c>
      <c r="X24" s="96" t="s">
        <v>178</v>
      </c>
      <c r="Y24" s="96">
        <v>12</v>
      </c>
      <c r="Z24" s="96" t="s">
        <v>422</v>
      </c>
      <c r="AA24" s="97">
        <v>0.99533285779852521</v>
      </c>
      <c r="AC24" s="53" t="s">
        <v>148</v>
      </c>
      <c r="AD24" s="55">
        <f>COUNTIF(Y$52:Y$70,"&lt;13")</f>
        <v>0</v>
      </c>
      <c r="AE24" s="56">
        <f t="shared" si="4"/>
        <v>0</v>
      </c>
      <c r="AG24" s="80"/>
    </row>
    <row r="25" spans="1:33" ht="13.8" x14ac:dyDescent="0.3">
      <c r="A25" s="37" t="s">
        <v>306</v>
      </c>
      <c r="B25" s="44" t="s">
        <v>145</v>
      </c>
      <c r="C25" s="44">
        <v>15</v>
      </c>
      <c r="D25" s="44" t="s">
        <v>307</v>
      </c>
      <c r="E25" s="60">
        <f t="shared" si="3"/>
        <v>0.99967409016838671</v>
      </c>
      <c r="F25" s="355"/>
      <c r="Q25" s="93" t="s">
        <v>465</v>
      </c>
      <c r="R25" s="94">
        <v>0.96341849943457658</v>
      </c>
      <c r="S25" s="93" t="s">
        <v>208</v>
      </c>
      <c r="W25" s="45" t="s">
        <v>310</v>
      </c>
      <c r="X25" s="46" t="s">
        <v>178</v>
      </c>
      <c r="Y25" s="46">
        <v>12</v>
      </c>
      <c r="Z25" s="46" t="s">
        <v>466</v>
      </c>
      <c r="AA25" s="61">
        <v>0.99461817608484948</v>
      </c>
      <c r="AC25" s="41" t="s">
        <v>149</v>
      </c>
      <c r="AD25" s="51">
        <f>SUM(AD19:AD24)</f>
        <v>19</v>
      </c>
      <c r="AE25" s="52">
        <f t="shared" si="4"/>
        <v>1</v>
      </c>
      <c r="AG25" s="80"/>
    </row>
    <row r="26" spans="1:33" ht="13.8" x14ac:dyDescent="0.3">
      <c r="A26" s="37" t="s">
        <v>248</v>
      </c>
      <c r="B26" s="44" t="s">
        <v>145</v>
      </c>
      <c r="C26" s="44">
        <v>15</v>
      </c>
      <c r="D26" s="44" t="s">
        <v>249</v>
      </c>
      <c r="E26" s="69">
        <f t="shared" si="3"/>
        <v>0.61841824770837783</v>
      </c>
      <c r="F26" s="355"/>
      <c r="Q26" s="93" t="s">
        <v>233</v>
      </c>
      <c r="R26" s="94">
        <v>0.89318320146074259</v>
      </c>
      <c r="S26" s="93" t="s">
        <v>208</v>
      </c>
      <c r="W26" s="37" t="s">
        <v>286</v>
      </c>
      <c r="X26" s="44" t="s">
        <v>147</v>
      </c>
      <c r="Y26" s="44">
        <v>13</v>
      </c>
      <c r="Z26" s="44" t="s">
        <v>287</v>
      </c>
      <c r="AA26" s="60">
        <v>0.99126425624848336</v>
      </c>
      <c r="AG26" s="80"/>
    </row>
    <row r="27" spans="1:33" ht="13.8" x14ac:dyDescent="0.3">
      <c r="A27" s="37" t="s">
        <v>437</v>
      </c>
      <c r="B27" s="44" t="s">
        <v>145</v>
      </c>
      <c r="C27" s="44">
        <v>15</v>
      </c>
      <c r="D27" s="44" t="s">
        <v>438</v>
      </c>
      <c r="E27" s="60">
        <f t="shared" si="3"/>
        <v>0.85816623707026407</v>
      </c>
      <c r="F27" s="355"/>
      <c r="Q27" s="93" t="s">
        <v>378</v>
      </c>
      <c r="R27" s="94">
        <v>1.0292149475019923</v>
      </c>
      <c r="S27" s="93" t="s">
        <v>208</v>
      </c>
      <c r="W27" s="45" t="s">
        <v>399</v>
      </c>
      <c r="X27" s="46" t="s">
        <v>146</v>
      </c>
      <c r="Y27" s="46">
        <v>14</v>
      </c>
      <c r="Z27" s="46" t="s">
        <v>400</v>
      </c>
      <c r="AA27" s="61">
        <v>0.98872477714287255</v>
      </c>
      <c r="AG27" s="80"/>
    </row>
    <row r="28" spans="1:33" ht="13.8" x14ac:dyDescent="0.3">
      <c r="A28" s="37" t="s">
        <v>357</v>
      </c>
      <c r="B28" s="44" t="s">
        <v>145</v>
      </c>
      <c r="C28" s="44">
        <v>15</v>
      </c>
      <c r="D28" s="44" t="s">
        <v>358</v>
      </c>
      <c r="E28" s="60">
        <f t="shared" si="3"/>
        <v>0.77444478716841458</v>
      </c>
      <c r="F28" s="355"/>
      <c r="Q28" s="93" t="s">
        <v>341</v>
      </c>
      <c r="R28" s="94">
        <v>1</v>
      </c>
      <c r="S28" s="93" t="s">
        <v>208</v>
      </c>
      <c r="W28" s="37" t="s">
        <v>300</v>
      </c>
      <c r="X28" s="47" t="s">
        <v>433</v>
      </c>
      <c r="Y28" s="47"/>
      <c r="Z28" s="47" t="s">
        <v>301</v>
      </c>
      <c r="AA28" s="62">
        <v>0.98538704581358605</v>
      </c>
      <c r="AC28" s="67" t="s">
        <v>152</v>
      </c>
      <c r="AD28" s="68"/>
      <c r="AE28" s="68"/>
      <c r="AF28" s="42">
        <f>AVERAGE(Y$71:Y$74)</f>
        <v>11.75</v>
      </c>
      <c r="AG28" s="79"/>
    </row>
    <row r="29" spans="1:33" ht="14.4" thickBot="1" x14ac:dyDescent="0.35">
      <c r="A29" s="37" t="s">
        <v>296</v>
      </c>
      <c r="B29" s="44" t="s">
        <v>145</v>
      </c>
      <c r="C29" s="44">
        <v>15</v>
      </c>
      <c r="D29" s="44" t="s">
        <v>297</v>
      </c>
      <c r="E29" s="60">
        <f t="shared" si="3"/>
        <v>0.66251692368655679</v>
      </c>
      <c r="F29" s="355"/>
      <c r="Q29" s="93" t="s">
        <v>467</v>
      </c>
      <c r="R29" s="94">
        <v>0.11951366732775717</v>
      </c>
      <c r="S29" s="93" t="s">
        <v>199</v>
      </c>
      <c r="W29" s="45" t="s">
        <v>288</v>
      </c>
      <c r="X29" s="46" t="s">
        <v>146</v>
      </c>
      <c r="Y29" s="46">
        <v>14</v>
      </c>
      <c r="Z29" s="46" t="s">
        <v>289</v>
      </c>
      <c r="AA29" s="61">
        <v>0.97697589100213744</v>
      </c>
      <c r="AC29" s="57" t="s">
        <v>215</v>
      </c>
      <c r="AD29" s="57" t="s">
        <v>139</v>
      </c>
      <c r="AE29" s="57" t="s">
        <v>140</v>
      </c>
    </row>
    <row r="30" spans="1:33" ht="13.8" x14ac:dyDescent="0.3">
      <c r="A30" s="37" t="s">
        <v>252</v>
      </c>
      <c r="B30" s="44" t="s">
        <v>145</v>
      </c>
      <c r="C30" s="44">
        <v>15</v>
      </c>
      <c r="D30" s="44" t="s">
        <v>253</v>
      </c>
      <c r="E30" s="60">
        <f t="shared" si="3"/>
        <v>0.91865112788863534</v>
      </c>
      <c r="F30" s="355"/>
      <c r="Q30" s="93" t="s">
        <v>271</v>
      </c>
      <c r="R30" s="94">
        <v>0.7886228860092247</v>
      </c>
      <c r="S30" s="93" t="s">
        <v>209</v>
      </c>
      <c r="W30" s="45" t="s">
        <v>355</v>
      </c>
      <c r="X30" s="46" t="s">
        <v>144</v>
      </c>
      <c r="Y30" s="46">
        <v>16</v>
      </c>
      <c r="Z30" s="46" t="s">
        <v>356</v>
      </c>
      <c r="AA30" s="61">
        <v>0.975461842272901</v>
      </c>
      <c r="AC30" s="37" t="s">
        <v>142</v>
      </c>
      <c r="AD30" s="49">
        <f>COUNTIF(Y$71:Y$74,"&gt;16")</f>
        <v>0</v>
      </c>
      <c r="AE30" s="50">
        <f>AD30/AD$36</f>
        <v>0</v>
      </c>
    </row>
    <row r="31" spans="1:33" ht="13.8" x14ac:dyDescent="0.3">
      <c r="A31" s="45" t="s">
        <v>227</v>
      </c>
      <c r="B31" s="46" t="s">
        <v>146</v>
      </c>
      <c r="C31" s="46">
        <v>14</v>
      </c>
      <c r="D31" s="46" t="s">
        <v>228</v>
      </c>
      <c r="E31" s="61">
        <f t="shared" si="3"/>
        <v>0.96680210088197405</v>
      </c>
      <c r="F31" s="355"/>
      <c r="K31" s="122"/>
      <c r="L31" s="122"/>
      <c r="Q31" s="93" t="s">
        <v>273</v>
      </c>
      <c r="R31" s="94">
        <v>0.80341264723043471</v>
      </c>
      <c r="S31" s="93" t="s">
        <v>208</v>
      </c>
      <c r="W31" s="45" t="s">
        <v>468</v>
      </c>
      <c r="X31" s="46" t="s">
        <v>178</v>
      </c>
      <c r="Y31" s="46">
        <v>12</v>
      </c>
      <c r="Z31" s="46" t="s">
        <v>469</v>
      </c>
      <c r="AA31" s="61">
        <v>0.97036252976978032</v>
      </c>
      <c r="AC31" s="37" t="s">
        <v>144</v>
      </c>
      <c r="AD31" s="49">
        <f>COUNTIF(Y$71:Y$74,"=16")</f>
        <v>0</v>
      </c>
      <c r="AE31" s="50">
        <f t="shared" ref="AE31:AE36" si="5">AD31/AD$36</f>
        <v>0</v>
      </c>
    </row>
    <row r="32" spans="1:33" ht="13.8" x14ac:dyDescent="0.3">
      <c r="A32" s="95" t="s">
        <v>243</v>
      </c>
      <c r="B32" s="96" t="s">
        <v>146</v>
      </c>
      <c r="C32" s="96">
        <v>14</v>
      </c>
      <c r="D32" s="96" t="s">
        <v>244</v>
      </c>
      <c r="E32" s="97">
        <f t="shared" si="3"/>
        <v>0.91095138568993894</v>
      </c>
      <c r="F32" s="355"/>
      <c r="L32" s="122"/>
      <c r="Q32" s="93" t="s">
        <v>275</v>
      </c>
      <c r="R32" s="94">
        <v>0.58646630934150079</v>
      </c>
      <c r="S32" s="93" t="s">
        <v>209</v>
      </c>
      <c r="W32" s="45" t="s">
        <v>227</v>
      </c>
      <c r="X32" s="46" t="s">
        <v>146</v>
      </c>
      <c r="Y32" s="46">
        <v>14</v>
      </c>
      <c r="Z32" s="46" t="s">
        <v>228</v>
      </c>
      <c r="AA32" s="61">
        <v>0.96680210088197405</v>
      </c>
      <c r="AC32" s="37" t="s">
        <v>145</v>
      </c>
      <c r="AD32" s="49">
        <f>COUNTIF(Y$71:Y$74,"=15")</f>
        <v>1</v>
      </c>
      <c r="AE32" s="50">
        <f t="shared" si="5"/>
        <v>0.25</v>
      </c>
    </row>
    <row r="33" spans="1:31" ht="13.8" x14ac:dyDescent="0.3">
      <c r="A33" s="45" t="s">
        <v>254</v>
      </c>
      <c r="B33" s="46" t="s">
        <v>146</v>
      </c>
      <c r="C33" s="46">
        <v>14</v>
      </c>
      <c r="D33" s="46" t="s">
        <v>255</v>
      </c>
      <c r="E33" s="61">
        <f t="shared" si="3"/>
        <v>0.71562826313957539</v>
      </c>
      <c r="F33" s="355"/>
      <c r="L33" s="122"/>
      <c r="Q33" s="93" t="s">
        <v>281</v>
      </c>
      <c r="R33" s="94">
        <v>0.64970550208303401</v>
      </c>
      <c r="S33" s="93" t="s">
        <v>209</v>
      </c>
      <c r="W33" s="45" t="s">
        <v>470</v>
      </c>
      <c r="X33" s="46" t="s">
        <v>144</v>
      </c>
      <c r="Y33" s="46">
        <v>16</v>
      </c>
      <c r="Z33" s="46" t="s">
        <v>465</v>
      </c>
      <c r="AA33" s="61">
        <v>0.96341849943457658</v>
      </c>
      <c r="AC33" s="37" t="s">
        <v>146</v>
      </c>
      <c r="AD33" s="49">
        <f>COUNTIF(Y$71:Y$74,"=14")</f>
        <v>0</v>
      </c>
      <c r="AE33" s="50">
        <f t="shared" si="5"/>
        <v>0</v>
      </c>
    </row>
    <row r="34" spans="1:31" ht="13.8" x14ac:dyDescent="0.3">
      <c r="A34" s="45" t="s">
        <v>259</v>
      </c>
      <c r="B34" s="46" t="s">
        <v>146</v>
      </c>
      <c r="C34" s="46">
        <v>14</v>
      </c>
      <c r="D34" s="46" t="s">
        <v>388</v>
      </c>
      <c r="E34" s="61">
        <f t="shared" si="3"/>
        <v>0.91199977892108686</v>
      </c>
      <c r="F34" s="355"/>
      <c r="L34" s="122"/>
      <c r="Q34" s="93" t="s">
        <v>363</v>
      </c>
      <c r="R34" s="94">
        <v>1.0379329114785329</v>
      </c>
      <c r="S34" s="93" t="s">
        <v>208</v>
      </c>
      <c r="W34" s="45" t="s">
        <v>404</v>
      </c>
      <c r="X34" s="46" t="s">
        <v>146</v>
      </c>
      <c r="Y34" s="46">
        <v>14</v>
      </c>
      <c r="Z34" s="46" t="s">
        <v>241</v>
      </c>
      <c r="AA34" s="61">
        <v>0.95294725244456668</v>
      </c>
      <c r="AC34" s="37" t="s">
        <v>147</v>
      </c>
      <c r="AD34" s="49">
        <f>COUNTIF(Y$71:Y$74,"=13")</f>
        <v>2</v>
      </c>
      <c r="AE34" s="50">
        <f t="shared" si="5"/>
        <v>0.5</v>
      </c>
    </row>
    <row r="35" spans="1:31" ht="14.4" thickBot="1" x14ac:dyDescent="0.35">
      <c r="A35" s="45" t="s">
        <v>338</v>
      </c>
      <c r="B35" s="46" t="s">
        <v>146</v>
      </c>
      <c r="C35" s="46">
        <v>14</v>
      </c>
      <c r="D35" s="46" t="s">
        <v>341</v>
      </c>
      <c r="E35" s="61">
        <f t="shared" si="3"/>
        <v>1</v>
      </c>
      <c r="F35" s="355"/>
      <c r="G35" s="49" t="s">
        <v>383</v>
      </c>
      <c r="L35" s="122"/>
      <c r="Q35" s="93" t="s">
        <v>285</v>
      </c>
      <c r="R35" s="94">
        <v>0.47637430521244206</v>
      </c>
      <c r="S35" s="93" t="s">
        <v>199</v>
      </c>
      <c r="W35" s="45" t="s">
        <v>256</v>
      </c>
      <c r="X35" s="46" t="s">
        <v>144</v>
      </c>
      <c r="Y35" s="46">
        <v>16</v>
      </c>
      <c r="Z35" s="46" t="s">
        <v>257</v>
      </c>
      <c r="AA35" s="61">
        <v>0.94700000000000006</v>
      </c>
      <c r="AC35" s="53" t="s">
        <v>148</v>
      </c>
      <c r="AD35" s="55">
        <f>COUNTIF(Y$71:Y$74,"&lt;13")</f>
        <v>1</v>
      </c>
      <c r="AE35" s="56">
        <f t="shared" si="5"/>
        <v>0.25</v>
      </c>
    </row>
    <row r="36" spans="1:31" ht="13.8" x14ac:dyDescent="0.3">
      <c r="A36" s="45" t="s">
        <v>272</v>
      </c>
      <c r="B36" s="46" t="s">
        <v>146</v>
      </c>
      <c r="C36" s="46">
        <v>14</v>
      </c>
      <c r="D36" s="46" t="s">
        <v>273</v>
      </c>
      <c r="E36" s="61">
        <f t="shared" si="3"/>
        <v>0.80341264723043471</v>
      </c>
      <c r="F36" s="355"/>
      <c r="G36" s="92"/>
      <c r="H36" s="7"/>
      <c r="I36" s="7"/>
      <c r="L36" s="122"/>
      <c r="Q36" s="93" t="s">
        <v>289</v>
      </c>
      <c r="R36" s="94">
        <v>0.97697589100213744</v>
      </c>
      <c r="S36" s="93" t="s">
        <v>208</v>
      </c>
      <c r="W36" s="45" t="s">
        <v>379</v>
      </c>
      <c r="X36" s="46" t="s">
        <v>146</v>
      </c>
      <c r="Y36" s="46">
        <v>14</v>
      </c>
      <c r="Z36" s="46" t="s">
        <v>385</v>
      </c>
      <c r="AA36" s="61">
        <v>0.93843994106691131</v>
      </c>
      <c r="AC36" s="41" t="s">
        <v>149</v>
      </c>
      <c r="AD36" s="51">
        <f>SUM(AD30:AD35)</f>
        <v>4</v>
      </c>
      <c r="AE36" s="52">
        <f t="shared" si="5"/>
        <v>1</v>
      </c>
    </row>
    <row r="37" spans="1:31" ht="13.8" x14ac:dyDescent="0.3">
      <c r="A37" s="45" t="s">
        <v>274</v>
      </c>
      <c r="B37" s="46" t="s">
        <v>146</v>
      </c>
      <c r="C37" s="46">
        <v>14</v>
      </c>
      <c r="D37" s="46" t="s">
        <v>275</v>
      </c>
      <c r="E37" s="61">
        <f t="shared" si="3"/>
        <v>0.58646630934150079</v>
      </c>
      <c r="F37" s="355"/>
      <c r="H37" s="5"/>
      <c r="J37" s="7"/>
      <c r="Q37" s="93" t="s">
        <v>225</v>
      </c>
      <c r="R37" s="94">
        <v>0.86662573118314323</v>
      </c>
      <c r="S37" s="93" t="s">
        <v>208</v>
      </c>
      <c r="W37" s="45" t="s">
        <v>308</v>
      </c>
      <c r="X37" s="46" t="s">
        <v>182</v>
      </c>
      <c r="Y37" s="46">
        <v>10</v>
      </c>
      <c r="Z37" s="46" t="s">
        <v>309</v>
      </c>
      <c r="AA37" s="61">
        <v>0.93520619672453054</v>
      </c>
    </row>
    <row r="38" spans="1:31" ht="13.8" x14ac:dyDescent="0.3">
      <c r="A38" s="45" t="s">
        <v>362</v>
      </c>
      <c r="B38" s="46" t="s">
        <v>146</v>
      </c>
      <c r="C38" s="46">
        <v>14</v>
      </c>
      <c r="D38" s="46" t="s">
        <v>363</v>
      </c>
      <c r="E38" s="61">
        <f t="shared" si="3"/>
        <v>1.0379329114785329</v>
      </c>
      <c r="F38" s="355"/>
      <c r="H38" s="5"/>
      <c r="J38" s="8"/>
      <c r="Q38" s="93" t="s">
        <v>277</v>
      </c>
      <c r="R38" s="94">
        <v>0.36101059894989318</v>
      </c>
      <c r="S38" s="93" t="s">
        <v>199</v>
      </c>
      <c r="W38" s="37" t="s">
        <v>298</v>
      </c>
      <c r="X38" s="44" t="s">
        <v>171</v>
      </c>
      <c r="Y38" s="44">
        <v>17</v>
      </c>
      <c r="Z38" s="44" t="s">
        <v>299</v>
      </c>
      <c r="AA38" s="60">
        <v>0.92936836749527552</v>
      </c>
    </row>
    <row r="39" spans="1:31" ht="13.8" x14ac:dyDescent="0.3">
      <c r="A39" s="45" t="s">
        <v>288</v>
      </c>
      <c r="B39" s="46" t="s">
        <v>146</v>
      </c>
      <c r="C39" s="46">
        <v>14</v>
      </c>
      <c r="D39" s="46" t="s">
        <v>289</v>
      </c>
      <c r="E39" s="61">
        <f t="shared" si="3"/>
        <v>0.97697589100213744</v>
      </c>
      <c r="F39" s="355"/>
      <c r="H39" s="5"/>
      <c r="J39" s="8"/>
      <c r="Q39" s="93" t="s">
        <v>471</v>
      </c>
      <c r="R39" s="94">
        <v>0.78418126509511765</v>
      </c>
      <c r="S39" s="93" t="s">
        <v>209</v>
      </c>
      <c r="W39" s="37" t="s">
        <v>252</v>
      </c>
      <c r="X39" s="44" t="s">
        <v>145</v>
      </c>
      <c r="Y39" s="44">
        <v>15</v>
      </c>
      <c r="Z39" s="44" t="s">
        <v>253</v>
      </c>
      <c r="AA39" s="60">
        <v>0.91865112788863534</v>
      </c>
    </row>
    <row r="40" spans="1:31" ht="13.8" x14ac:dyDescent="0.3">
      <c r="A40" s="45" t="s">
        <v>404</v>
      </c>
      <c r="B40" s="46" t="s">
        <v>146</v>
      </c>
      <c r="C40" s="46">
        <v>14</v>
      </c>
      <c r="D40" s="46" t="s">
        <v>241</v>
      </c>
      <c r="E40" s="61">
        <f t="shared" si="3"/>
        <v>0.95294725244456668</v>
      </c>
      <c r="F40" s="355"/>
      <c r="H40" s="5"/>
      <c r="J40" s="8"/>
      <c r="Q40" s="93" t="s">
        <v>246</v>
      </c>
      <c r="R40" s="94">
        <v>0.541533003736272</v>
      </c>
      <c r="S40" s="93" t="s">
        <v>209</v>
      </c>
      <c r="W40" s="45" t="s">
        <v>259</v>
      </c>
      <c r="X40" s="46" t="s">
        <v>146</v>
      </c>
      <c r="Y40" s="46">
        <v>14</v>
      </c>
      <c r="Z40" s="46" t="s">
        <v>388</v>
      </c>
      <c r="AA40" s="61">
        <v>0.91199977892108686</v>
      </c>
    </row>
    <row r="41" spans="1:31" ht="13.8" x14ac:dyDescent="0.3">
      <c r="A41" s="45" t="s">
        <v>302</v>
      </c>
      <c r="B41" s="46" t="s">
        <v>146</v>
      </c>
      <c r="C41" s="46">
        <v>14</v>
      </c>
      <c r="D41" s="46" t="s">
        <v>303</v>
      </c>
      <c r="E41" s="61">
        <f t="shared" si="3"/>
        <v>0.99569209153466032</v>
      </c>
      <c r="F41" s="355"/>
      <c r="H41" s="5"/>
      <c r="J41" s="8"/>
      <c r="Q41" s="93" t="s">
        <v>279</v>
      </c>
      <c r="R41" s="94">
        <v>0.57845507252191697</v>
      </c>
      <c r="S41" s="93" t="s">
        <v>209</v>
      </c>
      <c r="W41" s="95" t="s">
        <v>243</v>
      </c>
      <c r="X41" s="96" t="s">
        <v>146</v>
      </c>
      <c r="Y41" s="96">
        <v>14</v>
      </c>
      <c r="Z41" s="96" t="s">
        <v>244</v>
      </c>
      <c r="AA41" s="97">
        <v>0.91095138568993894</v>
      </c>
    </row>
    <row r="42" spans="1:31" ht="13.8" x14ac:dyDescent="0.3">
      <c r="A42" s="45" t="s">
        <v>290</v>
      </c>
      <c r="B42" s="46" t="s">
        <v>146</v>
      </c>
      <c r="C42" s="46">
        <v>14</v>
      </c>
      <c r="D42" s="46" t="s">
        <v>291</v>
      </c>
      <c r="E42" s="61">
        <f t="shared" si="3"/>
        <v>1</v>
      </c>
      <c r="F42" s="355"/>
      <c r="H42" s="5"/>
      <c r="J42" s="8"/>
      <c r="Q42" s="93" t="s">
        <v>442</v>
      </c>
      <c r="R42" s="94">
        <v>1</v>
      </c>
      <c r="S42" s="93" t="s">
        <v>208</v>
      </c>
      <c r="W42" s="37" t="s">
        <v>222</v>
      </c>
      <c r="X42" s="44" t="s">
        <v>145</v>
      </c>
      <c r="Y42" s="44">
        <v>15</v>
      </c>
      <c r="Z42" s="44" t="s">
        <v>223</v>
      </c>
      <c r="AA42" s="60">
        <v>0.91042888352305396</v>
      </c>
    </row>
    <row r="43" spans="1:31" ht="13.8" x14ac:dyDescent="0.3">
      <c r="A43" s="45" t="s">
        <v>294</v>
      </c>
      <c r="B43" s="46" t="s">
        <v>146</v>
      </c>
      <c r="C43" s="46">
        <v>14</v>
      </c>
      <c r="D43" s="46" t="s">
        <v>295</v>
      </c>
      <c r="E43" s="61">
        <f t="shared" si="3"/>
        <v>0.5641445718679996</v>
      </c>
      <c r="F43" s="355"/>
      <c r="Q43" s="93" t="s">
        <v>241</v>
      </c>
      <c r="R43" s="94">
        <v>0.95294725244456668</v>
      </c>
      <c r="S43" s="93" t="s">
        <v>208</v>
      </c>
      <c r="W43" s="45" t="s">
        <v>232</v>
      </c>
      <c r="X43" s="46" t="s">
        <v>144</v>
      </c>
      <c r="Y43" s="46">
        <v>16</v>
      </c>
      <c r="Z43" s="46" t="s">
        <v>233</v>
      </c>
      <c r="AA43" s="61">
        <v>0.89318320146074259</v>
      </c>
    </row>
    <row r="44" spans="1:31" ht="13.8" x14ac:dyDescent="0.3">
      <c r="A44" s="45" t="s">
        <v>379</v>
      </c>
      <c r="B44" s="46" t="s">
        <v>146</v>
      </c>
      <c r="C44" s="46">
        <v>14</v>
      </c>
      <c r="D44" s="46" t="s">
        <v>385</v>
      </c>
      <c r="E44" s="61">
        <f t="shared" si="3"/>
        <v>0.93843994106691131</v>
      </c>
      <c r="F44" s="355"/>
      <c r="Q44" s="93" t="s">
        <v>422</v>
      </c>
      <c r="R44" s="94">
        <v>0.99533285779852521</v>
      </c>
      <c r="S44" s="93" t="s">
        <v>208</v>
      </c>
      <c r="W44" s="37" t="s">
        <v>261</v>
      </c>
      <c r="X44" s="44" t="s">
        <v>147</v>
      </c>
      <c r="Y44" s="44">
        <v>13</v>
      </c>
      <c r="Z44" s="44" t="s">
        <v>262</v>
      </c>
      <c r="AA44" s="60">
        <v>0.89235399590163933</v>
      </c>
    </row>
    <row r="45" spans="1:31" ht="13.8" x14ac:dyDescent="0.3">
      <c r="A45" s="45" t="s">
        <v>399</v>
      </c>
      <c r="B45" s="46" t="s">
        <v>146</v>
      </c>
      <c r="C45" s="46">
        <v>14</v>
      </c>
      <c r="D45" s="46" t="s">
        <v>400</v>
      </c>
      <c r="E45" s="61">
        <f t="shared" si="3"/>
        <v>0.98872477714287255</v>
      </c>
      <c r="F45" s="355"/>
      <c r="Q45" s="93" t="s">
        <v>303</v>
      </c>
      <c r="R45" s="94">
        <v>0.99569209153466032</v>
      </c>
      <c r="S45" s="93" t="s">
        <v>208</v>
      </c>
      <c r="W45" s="37" t="s">
        <v>472</v>
      </c>
      <c r="X45" s="44" t="s">
        <v>171</v>
      </c>
      <c r="Y45" s="44">
        <v>17</v>
      </c>
      <c r="Z45" s="44" t="s">
        <v>463</v>
      </c>
      <c r="AA45" s="60">
        <v>0.89001113183270453</v>
      </c>
    </row>
    <row r="46" spans="1:31" ht="13.8" x14ac:dyDescent="0.3">
      <c r="A46" s="45" t="s">
        <v>364</v>
      </c>
      <c r="B46" s="46" t="s">
        <v>146</v>
      </c>
      <c r="C46" s="46">
        <v>14</v>
      </c>
      <c r="D46" s="46" t="s">
        <v>365</v>
      </c>
      <c r="E46" s="61">
        <f t="shared" si="3"/>
        <v>1</v>
      </c>
      <c r="F46" s="355"/>
      <c r="G46" s="122"/>
      <c r="J46" s="122"/>
      <c r="Q46" s="93" t="s">
        <v>283</v>
      </c>
      <c r="R46" s="94">
        <v>0.76907329412838532</v>
      </c>
      <c r="S46" s="93" t="s">
        <v>209</v>
      </c>
      <c r="W46" s="37" t="s">
        <v>224</v>
      </c>
      <c r="X46" s="44" t="s">
        <v>145</v>
      </c>
      <c r="Y46" s="44">
        <v>15</v>
      </c>
      <c r="Z46" s="44" t="s">
        <v>225</v>
      </c>
      <c r="AA46" s="60">
        <v>0.86662573118314323</v>
      </c>
    </row>
    <row r="47" spans="1:31" ht="13.8" x14ac:dyDescent="0.3">
      <c r="A47" s="37" t="s">
        <v>230</v>
      </c>
      <c r="B47" s="44" t="s">
        <v>147</v>
      </c>
      <c r="C47" s="44">
        <v>13</v>
      </c>
      <c r="D47" s="44" t="s">
        <v>231</v>
      </c>
      <c r="E47" s="60">
        <f t="shared" ref="E47:E67" si="6">VLOOKUP($D47,$Q$7:$R$68,2,0)</f>
        <v>0.84669359982989578</v>
      </c>
      <c r="F47" s="355"/>
      <c r="G47" s="122"/>
      <c r="I47" s="122"/>
      <c r="J47" s="122"/>
      <c r="Q47" s="93" t="s">
        <v>305</v>
      </c>
      <c r="R47" s="94">
        <v>0.62481029959532464</v>
      </c>
      <c r="S47" s="93" t="s">
        <v>209</v>
      </c>
      <c r="W47" s="37" t="s">
        <v>437</v>
      </c>
      <c r="X47" s="44" t="s">
        <v>145</v>
      </c>
      <c r="Y47" s="44">
        <v>15</v>
      </c>
      <c r="Z47" s="44" t="s">
        <v>438</v>
      </c>
      <c r="AA47" s="60">
        <v>0.85816623707026407</v>
      </c>
    </row>
    <row r="48" spans="1:31" ht="13.8" x14ac:dyDescent="0.3">
      <c r="A48" s="37" t="s">
        <v>250</v>
      </c>
      <c r="B48" s="44" t="s">
        <v>147</v>
      </c>
      <c r="C48" s="44">
        <v>13</v>
      </c>
      <c r="D48" s="44" t="s">
        <v>251</v>
      </c>
      <c r="E48" s="60">
        <f t="shared" si="6"/>
        <v>0.68875112521618576</v>
      </c>
      <c r="F48" s="355"/>
      <c r="G48" s="122"/>
      <c r="I48" s="122"/>
      <c r="J48" s="122"/>
      <c r="Q48" s="93" t="s">
        <v>307</v>
      </c>
      <c r="R48" s="94">
        <v>0.99967409016838671</v>
      </c>
      <c r="S48" s="93" t="s">
        <v>208</v>
      </c>
      <c r="W48" s="37" t="s">
        <v>230</v>
      </c>
      <c r="X48" s="44" t="s">
        <v>147</v>
      </c>
      <c r="Y48" s="44">
        <v>13</v>
      </c>
      <c r="Z48" s="44" t="s">
        <v>231</v>
      </c>
      <c r="AA48" s="60">
        <v>0.84669359982989578</v>
      </c>
    </row>
    <row r="49" spans="1:27" ht="13.8" x14ac:dyDescent="0.3">
      <c r="A49" s="37" t="s">
        <v>261</v>
      </c>
      <c r="B49" s="44" t="s">
        <v>147</v>
      </c>
      <c r="C49" s="44">
        <v>13</v>
      </c>
      <c r="D49" s="44" t="s">
        <v>262</v>
      </c>
      <c r="E49" s="60">
        <f t="shared" si="6"/>
        <v>0.89235399590163933</v>
      </c>
      <c r="F49" s="355"/>
      <c r="G49" s="122"/>
      <c r="I49" s="122"/>
      <c r="J49" s="122"/>
      <c r="Q49" s="93" t="s">
        <v>295</v>
      </c>
      <c r="R49" s="94">
        <v>0.5641445718679996</v>
      </c>
      <c r="S49" s="93" t="s">
        <v>209</v>
      </c>
      <c r="W49" s="37" t="s">
        <v>405</v>
      </c>
      <c r="X49" s="44" t="s">
        <v>145</v>
      </c>
      <c r="Y49" s="44">
        <v>15</v>
      </c>
      <c r="Z49" s="44" t="s">
        <v>406</v>
      </c>
      <c r="AA49" s="60">
        <v>0.83267459864721705</v>
      </c>
    </row>
    <row r="50" spans="1:27" ht="13.8" x14ac:dyDescent="0.3">
      <c r="A50" s="37" t="s">
        <v>473</v>
      </c>
      <c r="B50" s="44" t="s">
        <v>147</v>
      </c>
      <c r="C50" s="44">
        <v>13</v>
      </c>
      <c r="D50" s="44" t="s">
        <v>462</v>
      </c>
      <c r="E50" s="69">
        <f t="shared" si="6"/>
        <v>0.33305692234682915</v>
      </c>
      <c r="F50" s="355"/>
      <c r="G50" s="122"/>
      <c r="I50" s="122"/>
      <c r="J50" s="122"/>
      <c r="Q50" s="93" t="s">
        <v>438</v>
      </c>
      <c r="R50" s="94">
        <v>0.85816623707026407</v>
      </c>
      <c r="S50" s="93" t="s">
        <v>208</v>
      </c>
      <c r="W50" s="37" t="s">
        <v>266</v>
      </c>
      <c r="X50" s="44" t="s">
        <v>145</v>
      </c>
      <c r="Y50" s="44">
        <v>15</v>
      </c>
      <c r="Z50" s="44" t="s">
        <v>267</v>
      </c>
      <c r="AA50" s="69">
        <v>0.81254016709511567</v>
      </c>
    </row>
    <row r="51" spans="1:27" ht="13.8" x14ac:dyDescent="0.3">
      <c r="A51" s="37" t="s">
        <v>270</v>
      </c>
      <c r="B51" s="44" t="s">
        <v>147</v>
      </c>
      <c r="C51" s="44">
        <v>13</v>
      </c>
      <c r="D51" s="44" t="s">
        <v>271</v>
      </c>
      <c r="E51" s="60">
        <f t="shared" si="6"/>
        <v>0.7886228860092247</v>
      </c>
      <c r="F51" s="355"/>
      <c r="I51" s="122"/>
      <c r="J51" s="122"/>
      <c r="Q51" s="93" t="s">
        <v>309</v>
      </c>
      <c r="R51" s="94">
        <v>0.93520619672453054</v>
      </c>
      <c r="S51" s="93" t="s">
        <v>208</v>
      </c>
      <c r="W51" s="45" t="s">
        <v>272</v>
      </c>
      <c r="X51" s="46" t="s">
        <v>146</v>
      </c>
      <c r="Y51" s="46">
        <v>14</v>
      </c>
      <c r="Z51" s="46" t="s">
        <v>273</v>
      </c>
      <c r="AA51" s="61">
        <v>0.80341264723043471</v>
      </c>
    </row>
    <row r="52" spans="1:27" ht="13.8" x14ac:dyDescent="0.3">
      <c r="A52" s="37" t="s">
        <v>377</v>
      </c>
      <c r="B52" s="44" t="s">
        <v>147</v>
      </c>
      <c r="C52" s="44">
        <v>13</v>
      </c>
      <c r="D52" s="44" t="s">
        <v>378</v>
      </c>
      <c r="E52" s="60">
        <f t="shared" si="6"/>
        <v>1.0292149475019923</v>
      </c>
      <c r="F52" s="355"/>
      <c r="Q52" s="93" t="s">
        <v>287</v>
      </c>
      <c r="R52" s="94">
        <v>0.99126425624848336</v>
      </c>
      <c r="S52" s="93" t="s">
        <v>208</v>
      </c>
      <c r="W52" s="37" t="s">
        <v>270</v>
      </c>
      <c r="X52" s="44" t="s">
        <v>147</v>
      </c>
      <c r="Y52" s="44">
        <v>13</v>
      </c>
      <c r="Z52" s="44" t="s">
        <v>271</v>
      </c>
      <c r="AA52" s="60">
        <v>0.7886228860092247</v>
      </c>
    </row>
    <row r="53" spans="1:27" ht="13.8" x14ac:dyDescent="0.3">
      <c r="A53" s="37" t="s">
        <v>280</v>
      </c>
      <c r="B53" s="44" t="s">
        <v>147</v>
      </c>
      <c r="C53" s="44">
        <v>13</v>
      </c>
      <c r="D53" s="44" t="s">
        <v>281</v>
      </c>
      <c r="E53" s="60">
        <f t="shared" si="6"/>
        <v>0.64970550208303401</v>
      </c>
      <c r="F53" s="355"/>
      <c r="Q53" s="93" t="s">
        <v>393</v>
      </c>
      <c r="R53" s="94">
        <v>0.73349447513812149</v>
      </c>
      <c r="S53" s="93" t="s">
        <v>209</v>
      </c>
      <c r="W53" s="37" t="s">
        <v>474</v>
      </c>
      <c r="X53" s="44" t="s">
        <v>167</v>
      </c>
      <c r="Y53" s="44">
        <v>19</v>
      </c>
      <c r="Z53" s="44" t="s">
        <v>471</v>
      </c>
      <c r="AA53" s="60">
        <v>0.78418126509511765</v>
      </c>
    </row>
    <row r="54" spans="1:27" ht="13.8" x14ac:dyDescent="0.3">
      <c r="A54" s="37" t="s">
        <v>284</v>
      </c>
      <c r="B54" s="44" t="s">
        <v>147</v>
      </c>
      <c r="C54" s="44">
        <v>13</v>
      </c>
      <c r="D54" s="44" t="s">
        <v>285</v>
      </c>
      <c r="E54" s="69">
        <f t="shared" si="6"/>
        <v>0.47637430521244206</v>
      </c>
      <c r="F54" s="355"/>
      <c r="Q54" s="93" t="s">
        <v>291</v>
      </c>
      <c r="R54" s="94">
        <v>1</v>
      </c>
      <c r="S54" s="93" t="s">
        <v>208</v>
      </c>
      <c r="W54" s="37" t="s">
        <v>357</v>
      </c>
      <c r="X54" s="44" t="s">
        <v>145</v>
      </c>
      <c r="Y54" s="44">
        <v>15</v>
      </c>
      <c r="Z54" s="44" t="s">
        <v>358</v>
      </c>
      <c r="AA54" s="60">
        <v>0.77444478716841458</v>
      </c>
    </row>
    <row r="55" spans="1:27" ht="13.8" x14ac:dyDescent="0.3">
      <c r="A55" s="37" t="s">
        <v>292</v>
      </c>
      <c r="B55" s="44" t="s">
        <v>147</v>
      </c>
      <c r="C55" s="44">
        <v>13</v>
      </c>
      <c r="D55" s="44" t="s">
        <v>451</v>
      </c>
      <c r="E55" s="60">
        <f t="shared" si="6"/>
        <v>1</v>
      </c>
      <c r="F55" s="355"/>
      <c r="Q55" s="93" t="s">
        <v>249</v>
      </c>
      <c r="R55" s="94">
        <v>0.61841824770837783</v>
      </c>
      <c r="S55" s="93" t="s">
        <v>209</v>
      </c>
      <c r="W55" s="37" t="s">
        <v>282</v>
      </c>
      <c r="X55" s="44" t="s">
        <v>145</v>
      </c>
      <c r="Y55" s="44">
        <v>15</v>
      </c>
      <c r="Z55" s="44" t="s">
        <v>283</v>
      </c>
      <c r="AA55" s="60">
        <v>0.76907329412838532</v>
      </c>
    </row>
    <row r="56" spans="1:27" ht="13.8" x14ac:dyDescent="0.3">
      <c r="A56" s="37" t="s">
        <v>278</v>
      </c>
      <c r="B56" s="44" t="s">
        <v>147</v>
      </c>
      <c r="C56" s="44">
        <v>13</v>
      </c>
      <c r="D56" s="44" t="s">
        <v>279</v>
      </c>
      <c r="E56" s="60">
        <f t="shared" si="6"/>
        <v>0.57845507252191697</v>
      </c>
      <c r="F56" s="355"/>
      <c r="Q56" s="93" t="s">
        <v>466</v>
      </c>
      <c r="R56" s="94">
        <v>0.99461817608484948</v>
      </c>
      <c r="S56" s="93" t="s">
        <v>208</v>
      </c>
      <c r="W56" s="45" t="s">
        <v>268</v>
      </c>
      <c r="X56" s="46" t="s">
        <v>144</v>
      </c>
      <c r="Y56" s="46">
        <v>16</v>
      </c>
      <c r="Z56" s="46" t="s">
        <v>269</v>
      </c>
      <c r="AA56" s="61">
        <v>0.76510407852428497</v>
      </c>
    </row>
    <row r="57" spans="1:27" ht="13.8" x14ac:dyDescent="0.3">
      <c r="A57" s="37" t="s">
        <v>304</v>
      </c>
      <c r="B57" s="44" t="s">
        <v>147</v>
      </c>
      <c r="C57" s="44">
        <v>13</v>
      </c>
      <c r="D57" s="44" t="s">
        <v>305</v>
      </c>
      <c r="E57" s="60">
        <f t="shared" si="6"/>
        <v>0.62481029959532464</v>
      </c>
      <c r="F57" s="355"/>
      <c r="Q57" s="93" t="s">
        <v>358</v>
      </c>
      <c r="R57" s="94">
        <v>0.77444478716841458</v>
      </c>
      <c r="S57" s="93" t="s">
        <v>209</v>
      </c>
      <c r="W57" s="37" t="s">
        <v>418</v>
      </c>
      <c r="X57" s="44" t="s">
        <v>145</v>
      </c>
      <c r="Y57" s="44">
        <v>15</v>
      </c>
      <c r="Z57" s="44" t="s">
        <v>461</v>
      </c>
      <c r="AA57" s="60">
        <v>0.76017780502759058</v>
      </c>
    </row>
    <row r="58" spans="1:27" ht="13.8" x14ac:dyDescent="0.3">
      <c r="A58" s="37" t="s">
        <v>286</v>
      </c>
      <c r="B58" s="44" t="s">
        <v>147</v>
      </c>
      <c r="C58" s="44">
        <v>13</v>
      </c>
      <c r="D58" s="44" t="s">
        <v>287</v>
      </c>
      <c r="E58" s="60">
        <f t="shared" si="6"/>
        <v>0.99126425624848336</v>
      </c>
      <c r="F58" s="355"/>
      <c r="Q58" s="93" t="s">
        <v>299</v>
      </c>
      <c r="R58" s="94">
        <v>0.92936836749527552</v>
      </c>
      <c r="S58" s="93" t="s">
        <v>208</v>
      </c>
      <c r="W58" s="37" t="s">
        <v>392</v>
      </c>
      <c r="X58" s="44" t="s">
        <v>145</v>
      </c>
      <c r="Y58" s="44">
        <v>15</v>
      </c>
      <c r="Z58" s="44" t="s">
        <v>393</v>
      </c>
      <c r="AA58" s="69">
        <v>0.73349447513812149</v>
      </c>
    </row>
    <row r="59" spans="1:27" ht="13.8" x14ac:dyDescent="0.3">
      <c r="A59" s="45" t="s">
        <v>310</v>
      </c>
      <c r="B59" s="46" t="s">
        <v>178</v>
      </c>
      <c r="C59" s="46">
        <v>12</v>
      </c>
      <c r="D59" s="46" t="s">
        <v>466</v>
      </c>
      <c r="E59" s="61">
        <f t="shared" si="6"/>
        <v>0.99461817608484948</v>
      </c>
      <c r="F59" s="355"/>
      <c r="Q59" s="93" t="s">
        <v>297</v>
      </c>
      <c r="R59" s="94">
        <v>0.66251692368655679</v>
      </c>
      <c r="S59" s="93" t="s">
        <v>209</v>
      </c>
      <c r="W59" s="45" t="s">
        <v>254</v>
      </c>
      <c r="X59" s="46" t="s">
        <v>146</v>
      </c>
      <c r="Y59" s="46">
        <v>14</v>
      </c>
      <c r="Z59" s="46" t="s">
        <v>255</v>
      </c>
      <c r="AA59" s="61">
        <v>0.71562826313957539</v>
      </c>
    </row>
    <row r="60" spans="1:27" ht="13.8" x14ac:dyDescent="0.3">
      <c r="A60" s="95" t="s">
        <v>421</v>
      </c>
      <c r="B60" s="96" t="s">
        <v>178</v>
      </c>
      <c r="C60" s="96">
        <v>12</v>
      </c>
      <c r="D60" s="96" t="s">
        <v>422</v>
      </c>
      <c r="E60" s="97">
        <f t="shared" si="6"/>
        <v>0.99533285779852521</v>
      </c>
      <c r="F60" s="355"/>
      <c r="Q60" s="93" t="s">
        <v>385</v>
      </c>
      <c r="R60" s="94">
        <v>0.93843994106691131</v>
      </c>
      <c r="S60" s="93" t="s">
        <v>208</v>
      </c>
      <c r="W60" s="37" t="s">
        <v>250</v>
      </c>
      <c r="X60" s="44" t="s">
        <v>147</v>
      </c>
      <c r="Y60" s="44">
        <v>13</v>
      </c>
      <c r="Z60" s="44" t="s">
        <v>251</v>
      </c>
      <c r="AA60" s="60">
        <v>0.68875112521618576</v>
      </c>
    </row>
    <row r="61" spans="1:27" ht="13.8" x14ac:dyDescent="0.3">
      <c r="A61" s="45" t="s">
        <v>308</v>
      </c>
      <c r="B61" s="46" t="s">
        <v>182</v>
      </c>
      <c r="C61" s="46">
        <v>10</v>
      </c>
      <c r="D61" s="46" t="s">
        <v>309</v>
      </c>
      <c r="E61" s="61">
        <f t="shared" si="6"/>
        <v>0.93520619672453054</v>
      </c>
      <c r="F61" s="355"/>
      <c r="Q61" s="93" t="s">
        <v>406</v>
      </c>
      <c r="R61" s="94">
        <v>0.83267459864721705</v>
      </c>
      <c r="S61" s="93" t="s">
        <v>208</v>
      </c>
      <c r="W61" s="37" t="s">
        <v>296</v>
      </c>
      <c r="X61" s="44" t="s">
        <v>145</v>
      </c>
      <c r="Y61" s="44">
        <v>15</v>
      </c>
      <c r="Z61" s="44" t="s">
        <v>297</v>
      </c>
      <c r="AA61" s="60">
        <v>0.66251692368655679</v>
      </c>
    </row>
    <row r="62" spans="1:27" ht="14.4" thickBot="1" x14ac:dyDescent="0.35">
      <c r="A62" s="89" t="s">
        <v>381</v>
      </c>
      <c r="B62" s="90" t="s">
        <v>190</v>
      </c>
      <c r="C62" s="90">
        <v>6</v>
      </c>
      <c r="D62" s="90" t="s">
        <v>467</v>
      </c>
      <c r="E62" s="112">
        <f t="shared" si="6"/>
        <v>0.11951366732775717</v>
      </c>
      <c r="F62" s="355"/>
      <c r="Q62" s="93" t="s">
        <v>400</v>
      </c>
      <c r="R62" s="94">
        <v>0.98872477714287255</v>
      </c>
      <c r="S62" s="93" t="s">
        <v>208</v>
      </c>
      <c r="W62" s="37" t="s">
        <v>280</v>
      </c>
      <c r="X62" s="44" t="s">
        <v>147</v>
      </c>
      <c r="Y62" s="44">
        <v>13</v>
      </c>
      <c r="Z62" s="44" t="s">
        <v>281</v>
      </c>
      <c r="AA62" s="60">
        <v>0.64970550208303401</v>
      </c>
    </row>
    <row r="63" spans="1:27" ht="13.8" x14ac:dyDescent="0.3">
      <c r="A63" s="37" t="s">
        <v>474</v>
      </c>
      <c r="B63" s="44" t="s">
        <v>167</v>
      </c>
      <c r="C63" s="44">
        <v>19</v>
      </c>
      <c r="D63" s="44" t="s">
        <v>471</v>
      </c>
      <c r="E63" s="60">
        <f t="shared" si="6"/>
        <v>0.78418126509511765</v>
      </c>
      <c r="F63" s="355"/>
      <c r="Q63" s="93" t="s">
        <v>469</v>
      </c>
      <c r="R63" s="94">
        <v>0.97036252976978032</v>
      </c>
      <c r="S63" s="93" t="s">
        <v>208</v>
      </c>
      <c r="W63" s="45" t="s">
        <v>371</v>
      </c>
      <c r="X63" s="46" t="s">
        <v>144</v>
      </c>
      <c r="Y63" s="46">
        <v>16</v>
      </c>
      <c r="Z63" s="46" t="s">
        <v>199</v>
      </c>
      <c r="AA63" s="61">
        <v>0.63157463237392464</v>
      </c>
    </row>
    <row r="64" spans="1:27" ht="13.8" x14ac:dyDescent="0.3">
      <c r="A64" s="37" t="s">
        <v>472</v>
      </c>
      <c r="B64" s="44" t="s">
        <v>171</v>
      </c>
      <c r="C64" s="44">
        <v>17</v>
      </c>
      <c r="D64" s="44" t="s">
        <v>463</v>
      </c>
      <c r="E64" s="60">
        <f t="shared" si="6"/>
        <v>0.89001113183270453</v>
      </c>
      <c r="F64" s="355"/>
      <c r="Q64" s="93" t="s">
        <v>301</v>
      </c>
      <c r="R64" s="94">
        <v>0.98538704581358605</v>
      </c>
      <c r="S64" s="93" t="s">
        <v>208</v>
      </c>
      <c r="W64" s="37" t="s">
        <v>475</v>
      </c>
      <c r="X64" s="44" t="s">
        <v>147</v>
      </c>
      <c r="Y64" s="44">
        <v>13</v>
      </c>
      <c r="Z64" s="44" t="s">
        <v>458</v>
      </c>
      <c r="AA64" s="60">
        <v>0.62875460562079877</v>
      </c>
    </row>
    <row r="65" spans="1:27" ht="13.8" x14ac:dyDescent="0.3">
      <c r="A65" s="45" t="s">
        <v>468</v>
      </c>
      <c r="B65" s="46" t="s">
        <v>178</v>
      </c>
      <c r="C65" s="46">
        <v>12</v>
      </c>
      <c r="D65" s="46" t="s">
        <v>469</v>
      </c>
      <c r="E65" s="61">
        <f t="shared" si="6"/>
        <v>0.97036252976978032</v>
      </c>
      <c r="F65" s="355"/>
      <c r="Q65" s="93" t="s">
        <v>356</v>
      </c>
      <c r="R65" s="94">
        <v>0.975461842272901</v>
      </c>
      <c r="S65" s="93" t="s">
        <v>208</v>
      </c>
      <c r="W65" s="37" t="s">
        <v>304</v>
      </c>
      <c r="X65" s="44" t="s">
        <v>147</v>
      </c>
      <c r="Y65" s="44">
        <v>13</v>
      </c>
      <c r="Z65" s="44" t="s">
        <v>305</v>
      </c>
      <c r="AA65" s="60">
        <v>0.62481029959532464</v>
      </c>
    </row>
    <row r="66" spans="1:27" ht="13.8" x14ac:dyDescent="0.3">
      <c r="A66" s="37" t="s">
        <v>434</v>
      </c>
      <c r="B66" s="47" t="s">
        <v>433</v>
      </c>
      <c r="C66" s="47"/>
      <c r="D66" s="44" t="s">
        <v>435</v>
      </c>
      <c r="E66" s="69">
        <f t="shared" si="6"/>
        <v>0.99609846555590886</v>
      </c>
      <c r="F66" s="5"/>
      <c r="Q66" s="93" t="s">
        <v>253</v>
      </c>
      <c r="R66" s="94">
        <v>0.91865112788863534</v>
      </c>
      <c r="S66" s="93" t="s">
        <v>208</v>
      </c>
      <c r="W66" s="37" t="s">
        <v>248</v>
      </c>
      <c r="X66" s="44" t="s">
        <v>145</v>
      </c>
      <c r="Y66" s="44">
        <v>15</v>
      </c>
      <c r="Z66" s="44" t="s">
        <v>249</v>
      </c>
      <c r="AA66" s="69">
        <v>0.61841824770837783</v>
      </c>
    </row>
    <row r="67" spans="1:27" ht="14.4" thickBot="1" x14ac:dyDescent="0.35">
      <c r="A67" s="53" t="s">
        <v>300</v>
      </c>
      <c r="B67" s="54" t="s">
        <v>433</v>
      </c>
      <c r="C67" s="54"/>
      <c r="D67" s="54" t="s">
        <v>301</v>
      </c>
      <c r="E67" s="63">
        <f t="shared" si="6"/>
        <v>0.98538704581358605</v>
      </c>
      <c r="F67" s="5"/>
      <c r="Q67" s="93" t="s">
        <v>365</v>
      </c>
      <c r="R67" s="94">
        <v>1</v>
      </c>
      <c r="S67" s="93" t="s">
        <v>208</v>
      </c>
      <c r="W67" s="45" t="s">
        <v>274</v>
      </c>
      <c r="X67" s="46" t="s">
        <v>146</v>
      </c>
      <c r="Y67" s="46">
        <v>14</v>
      </c>
      <c r="Z67" s="46" t="s">
        <v>275</v>
      </c>
      <c r="AA67" s="61">
        <v>0.58646630934150079</v>
      </c>
    </row>
    <row r="68" spans="1:27" ht="13.8" x14ac:dyDescent="0.3">
      <c r="A68" s="41" t="s">
        <v>316</v>
      </c>
      <c r="B68" s="43" t="s">
        <v>146</v>
      </c>
      <c r="C68" s="42">
        <f>AVERAGE(C7:C62)</f>
        <v>14.160714285714286</v>
      </c>
      <c r="D68" s="42"/>
      <c r="E68" s="42"/>
      <c r="F68" s="5"/>
      <c r="G68" s="122"/>
      <c r="Q68" s="93" t="s">
        <v>257</v>
      </c>
      <c r="R68" s="94">
        <v>0.94700000000000006</v>
      </c>
      <c r="S68" s="93" t="s">
        <v>208</v>
      </c>
      <c r="W68" s="37" t="s">
        <v>278</v>
      </c>
      <c r="X68" s="44" t="s">
        <v>147</v>
      </c>
      <c r="Y68" s="44">
        <v>13</v>
      </c>
      <c r="Z68" s="44" t="s">
        <v>279</v>
      </c>
      <c r="AA68" s="60">
        <v>0.57845507252191697</v>
      </c>
    </row>
    <row r="69" spans="1:27" ht="14.4" thickBot="1" x14ac:dyDescent="0.35">
      <c r="A69" s="3"/>
      <c r="B69" s="3"/>
      <c r="F69" s="5"/>
      <c r="Q69" s="93"/>
      <c r="R69" s="94"/>
      <c r="S69" s="93"/>
      <c r="W69" s="105" t="s">
        <v>294</v>
      </c>
      <c r="X69" s="107" t="s">
        <v>146</v>
      </c>
      <c r="Y69" s="107">
        <v>14</v>
      </c>
      <c r="Z69" s="107" t="s">
        <v>295</v>
      </c>
      <c r="AA69" s="109">
        <v>0.5641445718679996</v>
      </c>
    </row>
    <row r="70" spans="1:27" ht="13.8" x14ac:dyDescent="0.3">
      <c r="A70" s="3"/>
      <c r="B70" s="3"/>
      <c r="F70" s="9"/>
      <c r="G70" s="122"/>
      <c r="Q70" s="93"/>
      <c r="R70" s="94"/>
      <c r="S70" s="93"/>
      <c r="W70" s="45" t="s">
        <v>245</v>
      </c>
      <c r="X70" s="46" t="s">
        <v>144</v>
      </c>
      <c r="Y70" s="46">
        <v>16</v>
      </c>
      <c r="Z70" s="46" t="s">
        <v>246</v>
      </c>
      <c r="AA70" s="61">
        <v>0.541533003736272</v>
      </c>
    </row>
    <row r="71" spans="1:27" ht="13.8" x14ac:dyDescent="0.3">
      <c r="A71" s="48" t="s">
        <v>317</v>
      </c>
      <c r="F71" s="9"/>
      <c r="Q71" s="49"/>
      <c r="R71" s="58"/>
      <c r="S71" s="49"/>
      <c r="W71" s="37" t="s">
        <v>284</v>
      </c>
      <c r="X71" s="44" t="s">
        <v>147</v>
      </c>
      <c r="Y71" s="44">
        <v>13</v>
      </c>
      <c r="Z71" s="44" t="s">
        <v>285</v>
      </c>
      <c r="AA71" s="69">
        <v>0.47637430521244206</v>
      </c>
    </row>
    <row r="72" spans="1:27" ht="13.8" x14ac:dyDescent="0.3">
      <c r="A72" s="48" t="s">
        <v>318</v>
      </c>
      <c r="B72" s="86"/>
      <c r="C72" s="86"/>
      <c r="D72" s="86"/>
      <c r="E72" s="86"/>
      <c r="F72" s="9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0">
        <v>0.36101059894989318</v>
      </c>
    </row>
    <row r="73" spans="1:27" ht="13.8" x14ac:dyDescent="0.3">
      <c r="A73" s="85" t="s">
        <v>429</v>
      </c>
      <c r="B73" s="86"/>
      <c r="C73" s="86"/>
      <c r="D73" s="86"/>
      <c r="E73" s="86"/>
      <c r="F73" s="87"/>
      <c r="Q73" s="49"/>
      <c r="R73" s="58"/>
      <c r="S73" s="49"/>
      <c r="W73" s="37" t="s">
        <v>473</v>
      </c>
      <c r="X73" s="44" t="s">
        <v>147</v>
      </c>
      <c r="Y73" s="44">
        <v>13</v>
      </c>
      <c r="Z73" s="44" t="s">
        <v>462</v>
      </c>
      <c r="AA73" s="69">
        <v>0.33305692234682915</v>
      </c>
    </row>
    <row r="74" spans="1:27" ht="14.4" thickBot="1" x14ac:dyDescent="0.35">
      <c r="A74" s="85" t="s">
        <v>319</v>
      </c>
      <c r="B74" s="86"/>
      <c r="C74" s="86"/>
      <c r="D74" s="86"/>
      <c r="E74" s="86"/>
      <c r="F74" s="87"/>
      <c r="Q74" s="49"/>
      <c r="R74" s="58"/>
      <c r="S74" s="49"/>
      <c r="W74" s="53" t="s">
        <v>381</v>
      </c>
      <c r="X74" s="57" t="s">
        <v>190</v>
      </c>
      <c r="Y74" s="57">
        <v>6</v>
      </c>
      <c r="Z74" s="57" t="s">
        <v>467</v>
      </c>
      <c r="AA74" s="111">
        <v>0.11951366732775717</v>
      </c>
    </row>
    <row r="75" spans="1:27" ht="13.8" x14ac:dyDescent="0.3">
      <c r="A75" s="85" t="s">
        <v>476</v>
      </c>
      <c r="D75" s="9"/>
      <c r="F75" s="87"/>
      <c r="Q75" s="49"/>
      <c r="R75" s="58"/>
      <c r="S75" s="49"/>
    </row>
    <row r="76" spans="1:27" ht="13.8" x14ac:dyDescent="0.3">
      <c r="A76" s="48" t="s">
        <v>320</v>
      </c>
      <c r="D76" s="9"/>
      <c r="Q76" s="49"/>
      <c r="R76" s="58"/>
      <c r="S76" s="49"/>
    </row>
    <row r="77" spans="1:27" ht="13.8" x14ac:dyDescent="0.3">
      <c r="A77" s="48"/>
      <c r="D77" s="9"/>
      <c r="Q77" s="49"/>
      <c r="R77" s="59"/>
      <c r="S77" s="49"/>
    </row>
    <row r="78" spans="1:27" x14ac:dyDescent="0.25">
      <c r="A78" s="48"/>
    </row>
    <row r="79" spans="1:27" x14ac:dyDescent="0.2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Q80"/>
      <c r="R80"/>
      <c r="S80"/>
      <c r="AA80" s="88"/>
    </row>
    <row r="81" spans="1:27" s="86" customFormat="1" x14ac:dyDescent="0.25">
      <c r="AA81" s="88"/>
    </row>
    <row r="82" spans="1:27" s="86" customFormat="1" x14ac:dyDescent="0.25">
      <c r="A82"/>
      <c r="B82"/>
      <c r="C82"/>
      <c r="D82"/>
      <c r="E82" s="74"/>
      <c r="F82"/>
      <c r="G82"/>
      <c r="W82"/>
      <c r="X82"/>
      <c r="Y82"/>
      <c r="Z82"/>
      <c r="AA82"/>
    </row>
    <row r="83" spans="1:27" x14ac:dyDescent="0.25">
      <c r="E83" s="75"/>
      <c r="Q83" s="86"/>
      <c r="R83" s="86"/>
      <c r="S83" s="86"/>
      <c r="AA83"/>
    </row>
    <row r="84" spans="1:27" x14ac:dyDescent="0.25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70C0"/>
    <pageSetUpPr fitToPage="1"/>
  </sheetPr>
  <dimension ref="A1:AH88"/>
  <sheetViews>
    <sheetView zoomScale="80" zoomScaleNormal="80" workbookViewId="0">
      <selection activeCell="A7" sqref="A7"/>
    </sheetView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483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444</v>
      </c>
      <c r="AA5" s="65" t="s">
        <v>444</v>
      </c>
      <c r="AF5" s="82" t="s">
        <v>445</v>
      </c>
      <c r="AG5" s="81" t="s">
        <v>484</v>
      </c>
    </row>
    <row r="6" spans="1:33" ht="13.8" x14ac:dyDescent="0.3">
      <c r="A6" s="101" t="s">
        <v>217</v>
      </c>
      <c r="B6" s="102" t="s">
        <v>485</v>
      </c>
      <c r="C6" s="103"/>
      <c r="D6" s="103"/>
      <c r="E6" s="104">
        <v>40178</v>
      </c>
      <c r="W6" s="101" t="s">
        <v>217</v>
      </c>
      <c r="X6" s="102" t="s">
        <v>485</v>
      </c>
      <c r="Y6" s="103"/>
      <c r="Z6" s="103"/>
      <c r="AA6" s="104">
        <v>40178</v>
      </c>
      <c r="AC6" s="67" t="s">
        <v>141</v>
      </c>
      <c r="AD6" s="68"/>
      <c r="AE6" s="68"/>
      <c r="AF6" s="42">
        <f>AVERAGE(Y$13:Y$49)</f>
        <v>14.257142857142858</v>
      </c>
      <c r="AG6" s="79">
        <f>AF6-Credit_2009Q4!AF6</f>
        <v>5.7142857142858716E-2</v>
      </c>
    </row>
    <row r="7" spans="1:33" ht="14.4" thickBot="1" x14ac:dyDescent="0.35">
      <c r="A7" s="45" t="s">
        <v>441</v>
      </c>
      <c r="B7" s="46" t="s">
        <v>169</v>
      </c>
      <c r="C7" s="46">
        <v>18</v>
      </c>
      <c r="D7" s="46" t="s">
        <v>442</v>
      </c>
      <c r="E7" s="61">
        <f t="shared" ref="E7:E14" si="0">VLOOKUP($D7,$Q$7:$R$69,2,0)</f>
        <v>0.99706741779950658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0.82576712904581762</v>
      </c>
      <c r="S7" s="93" t="s">
        <v>208</v>
      </c>
      <c r="W7" s="45" t="s">
        <v>447</v>
      </c>
      <c r="X7" s="46" t="s">
        <v>144</v>
      </c>
      <c r="Y7" s="46">
        <v>16</v>
      </c>
      <c r="Z7" s="46" t="s">
        <v>448</v>
      </c>
      <c r="AA7" s="61" t="s">
        <v>433</v>
      </c>
      <c r="AC7" s="57" t="s">
        <v>215</v>
      </c>
      <c r="AD7" s="57" t="s">
        <v>139</v>
      </c>
      <c r="AE7" s="57" t="s">
        <v>140</v>
      </c>
      <c r="AG7" s="80"/>
    </row>
    <row r="8" spans="1:33" ht="13.8" x14ac:dyDescent="0.3">
      <c r="A8" s="37" t="s">
        <v>298</v>
      </c>
      <c r="B8" s="44" t="s">
        <v>171</v>
      </c>
      <c r="C8" s="44">
        <v>17</v>
      </c>
      <c r="D8" s="44" t="s">
        <v>299</v>
      </c>
      <c r="E8" s="60">
        <f t="shared" si="0"/>
        <v>0.93000422702993502</v>
      </c>
      <c r="F8" s="355"/>
      <c r="G8" s="37" t="s">
        <v>142</v>
      </c>
      <c r="H8" s="49">
        <f>COUNTIF(C$7:C$74,"&gt;16")</f>
        <v>4</v>
      </c>
      <c r="I8" s="50">
        <f>H8/H$14</f>
        <v>6.0606060606060608E-2</v>
      </c>
      <c r="K8" s="122"/>
      <c r="M8" s="122"/>
      <c r="N8" s="122"/>
      <c r="O8" s="122"/>
      <c r="Q8" s="93" t="s">
        <v>228</v>
      </c>
      <c r="R8" s="94">
        <v>0.97067096880946468</v>
      </c>
      <c r="S8" s="93" t="s">
        <v>208</v>
      </c>
      <c r="W8" s="45" t="s">
        <v>449</v>
      </c>
      <c r="X8" s="46" t="s">
        <v>144</v>
      </c>
      <c r="Y8" s="46">
        <v>16</v>
      </c>
      <c r="Z8" s="46" t="s">
        <v>450</v>
      </c>
      <c r="AA8" s="61" t="s">
        <v>433</v>
      </c>
      <c r="AC8" s="37" t="s">
        <v>142</v>
      </c>
      <c r="AD8" s="49">
        <f>COUNTIF(Y$13:Y$49,"&gt;16")</f>
        <v>3</v>
      </c>
      <c r="AE8" s="50">
        <f>AD8/AD$14</f>
        <v>8.5714285714285715E-2</v>
      </c>
      <c r="AG8" s="80"/>
    </row>
    <row r="9" spans="1:33" ht="13.8" x14ac:dyDescent="0.3">
      <c r="A9" s="45" t="s">
        <v>232</v>
      </c>
      <c r="B9" s="46" t="s">
        <v>144</v>
      </c>
      <c r="C9" s="46">
        <v>16</v>
      </c>
      <c r="D9" s="46" t="s">
        <v>233</v>
      </c>
      <c r="E9" s="61">
        <f t="shared" si="0"/>
        <v>0.89410444897115693</v>
      </c>
      <c r="F9" s="355"/>
      <c r="G9" s="37" t="s">
        <v>144</v>
      </c>
      <c r="H9" s="49">
        <f>COUNTIF(C$7:C$74,"=16")</f>
        <v>10</v>
      </c>
      <c r="I9" s="50">
        <f t="shared" ref="I9:I14" si="1">H9/H$14</f>
        <v>0.15151515151515152</v>
      </c>
      <c r="K9" s="122"/>
      <c r="M9" s="122"/>
      <c r="N9" s="122"/>
      <c r="O9" s="122"/>
      <c r="Q9" s="93" t="s">
        <v>451</v>
      </c>
      <c r="R9" s="94">
        <v>1</v>
      </c>
      <c r="S9" s="93" t="s">
        <v>208</v>
      </c>
      <c r="W9" s="37" t="s">
        <v>452</v>
      </c>
      <c r="X9" s="44" t="s">
        <v>145</v>
      </c>
      <c r="Y9" s="44">
        <v>15</v>
      </c>
      <c r="Z9" s="44" t="s">
        <v>453</v>
      </c>
      <c r="AA9" s="60" t="s">
        <v>433</v>
      </c>
      <c r="AC9" s="37" t="s">
        <v>144</v>
      </c>
      <c r="AD9" s="49">
        <f>COUNTIF(Y$13:Y$49,"=16")</f>
        <v>5</v>
      </c>
      <c r="AE9" s="50">
        <f t="shared" ref="AE9:AE14" si="2">AD9/AD$14</f>
        <v>0.14285714285714285</v>
      </c>
      <c r="AG9" s="80"/>
    </row>
    <row r="10" spans="1:33" ht="13.8" x14ac:dyDescent="0.3">
      <c r="A10" s="45" t="s">
        <v>371</v>
      </c>
      <c r="B10" s="46" t="s">
        <v>144</v>
      </c>
      <c r="C10" s="46">
        <v>16</v>
      </c>
      <c r="D10" s="46" t="s">
        <v>199</v>
      </c>
      <c r="E10" s="61">
        <f t="shared" si="0"/>
        <v>0.58142655748172922</v>
      </c>
      <c r="F10" s="355"/>
      <c r="G10" s="37" t="s">
        <v>145</v>
      </c>
      <c r="H10" s="49">
        <f>COUNTIF(C$7:C$74,"=15")</f>
        <v>16</v>
      </c>
      <c r="I10" s="50">
        <f t="shared" si="1"/>
        <v>0.24242424242424243</v>
      </c>
      <c r="K10" s="122"/>
      <c r="M10" s="122"/>
      <c r="N10" s="122"/>
      <c r="O10" s="122"/>
      <c r="Q10" s="93" t="s">
        <v>223</v>
      </c>
      <c r="R10" s="94">
        <v>0.91262379340604238</v>
      </c>
      <c r="S10" s="93" t="s">
        <v>208</v>
      </c>
      <c r="W10" s="37" t="s">
        <v>454</v>
      </c>
      <c r="X10" s="44" t="s">
        <v>145</v>
      </c>
      <c r="Y10" s="44">
        <v>15</v>
      </c>
      <c r="Z10" s="44" t="s">
        <v>455</v>
      </c>
      <c r="AA10" s="60" t="s">
        <v>433</v>
      </c>
      <c r="AC10" s="37" t="s">
        <v>145</v>
      </c>
      <c r="AD10" s="49">
        <f>COUNTIF(Y$13:Y$49,"=15")</f>
        <v>6</v>
      </c>
      <c r="AE10" s="50">
        <f t="shared" si="2"/>
        <v>0.17142857142857143</v>
      </c>
      <c r="AG10" s="80"/>
    </row>
    <row r="11" spans="1:33" ht="13.8" x14ac:dyDescent="0.3">
      <c r="A11" s="45" t="s">
        <v>264</v>
      </c>
      <c r="B11" s="46" t="s">
        <v>144</v>
      </c>
      <c r="C11" s="46">
        <v>16</v>
      </c>
      <c r="D11" s="46" t="s">
        <v>464</v>
      </c>
      <c r="E11" s="61">
        <f t="shared" si="0"/>
        <v>1</v>
      </c>
      <c r="F11" s="355"/>
      <c r="G11" s="37" t="s">
        <v>146</v>
      </c>
      <c r="H11" s="49">
        <f>COUNTIF(C$7:C$74,"=14")</f>
        <v>16</v>
      </c>
      <c r="I11" s="50">
        <f t="shared" si="1"/>
        <v>0.24242424242424243</v>
      </c>
      <c r="K11" s="122"/>
      <c r="M11" s="122"/>
      <c r="N11" s="122"/>
      <c r="O11" s="122"/>
      <c r="Q11" s="93" t="s">
        <v>244</v>
      </c>
      <c r="R11" s="94">
        <v>0.9427287640364086</v>
      </c>
      <c r="S11" s="93" t="s">
        <v>208</v>
      </c>
      <c r="W11" s="45" t="s">
        <v>456</v>
      </c>
      <c r="X11" s="46" t="s">
        <v>146</v>
      </c>
      <c r="Y11" s="46">
        <v>14</v>
      </c>
      <c r="Z11" s="46" t="s">
        <v>457</v>
      </c>
      <c r="AA11" s="61" t="s">
        <v>433</v>
      </c>
      <c r="AC11" s="37" t="s">
        <v>146</v>
      </c>
      <c r="AD11" s="49">
        <f>COUNTIF(Y$13:Y$49,"=14")</f>
        <v>11</v>
      </c>
      <c r="AE11" s="50">
        <f t="shared" si="2"/>
        <v>0.31428571428571428</v>
      </c>
      <c r="AG11" s="80"/>
    </row>
    <row r="12" spans="1:33" ht="13.8" x14ac:dyDescent="0.3">
      <c r="A12" s="45" t="s">
        <v>268</v>
      </c>
      <c r="B12" s="46" t="s">
        <v>144</v>
      </c>
      <c r="C12" s="46">
        <v>16</v>
      </c>
      <c r="D12" s="46" t="s">
        <v>269</v>
      </c>
      <c r="E12" s="61">
        <f t="shared" si="0"/>
        <v>0.7497019635343618</v>
      </c>
      <c r="F12" s="355"/>
      <c r="G12" s="37" t="s">
        <v>147</v>
      </c>
      <c r="H12" s="49">
        <f>COUNTIF(C$7:C$74,"=13")</f>
        <v>15</v>
      </c>
      <c r="I12" s="50">
        <f t="shared" si="1"/>
        <v>0.22727272727272727</v>
      </c>
      <c r="Q12" s="93" t="s">
        <v>458</v>
      </c>
      <c r="R12" s="94">
        <v>0.62875460562079877</v>
      </c>
      <c r="S12" s="93" t="s">
        <v>209</v>
      </c>
      <c r="W12" s="37" t="s">
        <v>459</v>
      </c>
      <c r="X12" s="44" t="s">
        <v>147</v>
      </c>
      <c r="Y12" s="44">
        <v>13</v>
      </c>
      <c r="Z12" s="44" t="s">
        <v>460</v>
      </c>
      <c r="AA12" s="60" t="s">
        <v>433</v>
      </c>
      <c r="AC12" s="37" t="s">
        <v>147</v>
      </c>
      <c r="AD12" s="49">
        <f>COUNTIF(Y$13:Y$49,"=13")</f>
        <v>6</v>
      </c>
      <c r="AE12" s="50">
        <f t="shared" si="2"/>
        <v>0.17142857142857143</v>
      </c>
      <c r="AG12" s="80"/>
    </row>
    <row r="13" spans="1:33" ht="14.4" thickBot="1" x14ac:dyDescent="0.35">
      <c r="A13" s="45" t="s">
        <v>470</v>
      </c>
      <c r="B13" s="46" t="s">
        <v>144</v>
      </c>
      <c r="C13" s="46">
        <v>16</v>
      </c>
      <c r="D13" s="46" t="s">
        <v>465</v>
      </c>
      <c r="E13" s="61">
        <f t="shared" si="0"/>
        <v>0.96341849943457658</v>
      </c>
      <c r="F13" s="355"/>
      <c r="G13" s="53" t="s">
        <v>148</v>
      </c>
      <c r="H13" s="55">
        <f>COUNTIF(C$7:C$74,"&lt;13")</f>
        <v>5</v>
      </c>
      <c r="I13" s="56">
        <f t="shared" si="1"/>
        <v>7.575757575757576E-2</v>
      </c>
      <c r="Q13" s="93" t="s">
        <v>251</v>
      </c>
      <c r="R13" s="94">
        <v>0.70643925978729205</v>
      </c>
      <c r="S13" s="93" t="s">
        <v>209</v>
      </c>
      <c r="W13" s="45" t="s">
        <v>362</v>
      </c>
      <c r="X13" s="46" t="s">
        <v>146</v>
      </c>
      <c r="Y13" s="46">
        <v>14</v>
      </c>
      <c r="Z13" s="46" t="s">
        <v>363</v>
      </c>
      <c r="AA13" s="61">
        <v>1.0333026830763428</v>
      </c>
      <c r="AC13" s="53" t="s">
        <v>148</v>
      </c>
      <c r="AD13" s="55">
        <f>COUNTIF(Y$13:Y$49,"&lt;13")</f>
        <v>4</v>
      </c>
      <c r="AE13" s="56">
        <f t="shared" si="2"/>
        <v>0.11428571428571428</v>
      </c>
      <c r="AG13" s="80"/>
    </row>
    <row r="14" spans="1:33" ht="13.8" x14ac:dyDescent="0.3">
      <c r="A14" s="45" t="s">
        <v>245</v>
      </c>
      <c r="B14" s="46" t="s">
        <v>144</v>
      </c>
      <c r="C14" s="46">
        <v>16</v>
      </c>
      <c r="D14" s="46" t="s">
        <v>246</v>
      </c>
      <c r="E14" s="61">
        <f t="shared" si="0"/>
        <v>0.55330389203021169</v>
      </c>
      <c r="F14" s="355"/>
      <c r="G14" s="41" t="s">
        <v>149</v>
      </c>
      <c r="H14" s="51">
        <f>SUM(H8:H13)</f>
        <v>66</v>
      </c>
      <c r="I14" s="52">
        <f t="shared" si="1"/>
        <v>1</v>
      </c>
      <c r="Q14" s="93" t="s">
        <v>461</v>
      </c>
      <c r="R14" s="94">
        <v>0.7469877361024081</v>
      </c>
      <c r="S14" s="93" t="s">
        <v>209</v>
      </c>
      <c r="W14" s="37" t="s">
        <v>377</v>
      </c>
      <c r="X14" s="44" t="s">
        <v>147</v>
      </c>
      <c r="Y14" s="44">
        <v>13</v>
      </c>
      <c r="Z14" s="44" t="s">
        <v>378</v>
      </c>
      <c r="AA14" s="60">
        <v>1.0293089747728885</v>
      </c>
      <c r="AC14" s="41" t="s">
        <v>149</v>
      </c>
      <c r="AD14" s="51">
        <f>SUM(AD8:AD13)</f>
        <v>35</v>
      </c>
      <c r="AE14" s="52">
        <f t="shared" si="2"/>
        <v>1</v>
      </c>
      <c r="AG14" s="80"/>
    </row>
    <row r="15" spans="1:33" ht="13.8" x14ac:dyDescent="0.3">
      <c r="A15" s="45" t="s">
        <v>447</v>
      </c>
      <c r="B15" s="46" t="s">
        <v>144</v>
      </c>
      <c r="C15" s="46">
        <v>16</v>
      </c>
      <c r="D15" s="46" t="s">
        <v>448</v>
      </c>
      <c r="E15" s="61" t="s">
        <v>433</v>
      </c>
      <c r="F15" s="355"/>
      <c r="K15" s="5"/>
      <c r="Q15" s="93" t="s">
        <v>462</v>
      </c>
      <c r="R15" s="94">
        <v>0.27216238256230779</v>
      </c>
      <c r="S15" s="93" t="s">
        <v>199</v>
      </c>
      <c r="W15" s="45" t="s">
        <v>264</v>
      </c>
      <c r="X15" s="46" t="s">
        <v>144</v>
      </c>
      <c r="Y15" s="46">
        <v>16</v>
      </c>
      <c r="Z15" s="46" t="s">
        <v>464</v>
      </c>
      <c r="AA15" s="61">
        <v>1</v>
      </c>
      <c r="AG15" s="80"/>
    </row>
    <row r="16" spans="1:33" ht="13.8" x14ac:dyDescent="0.3">
      <c r="A16" s="45" t="s">
        <v>449</v>
      </c>
      <c r="B16" s="46" t="s">
        <v>144</v>
      </c>
      <c r="C16" s="46">
        <v>16</v>
      </c>
      <c r="D16" s="46" t="s">
        <v>450</v>
      </c>
      <c r="E16" s="61" t="s">
        <v>433</v>
      </c>
      <c r="F16" s="355"/>
      <c r="K16" s="5"/>
      <c r="Q16" s="93" t="s">
        <v>463</v>
      </c>
      <c r="R16" s="94">
        <v>0.87497195036407094</v>
      </c>
      <c r="S16" s="93" t="s">
        <v>208</v>
      </c>
      <c r="W16" s="45" t="s">
        <v>338</v>
      </c>
      <c r="X16" s="46" t="s">
        <v>146</v>
      </c>
      <c r="Y16" s="46">
        <v>14</v>
      </c>
      <c r="Z16" s="46" t="s">
        <v>341</v>
      </c>
      <c r="AA16" s="61">
        <v>1</v>
      </c>
      <c r="AG16" s="80"/>
    </row>
    <row r="17" spans="1:33" ht="13.8" x14ac:dyDescent="0.3">
      <c r="A17" s="45" t="s">
        <v>355</v>
      </c>
      <c r="B17" s="46" t="s">
        <v>144</v>
      </c>
      <c r="C17" s="46">
        <v>16</v>
      </c>
      <c r="D17" s="46" t="s">
        <v>356</v>
      </c>
      <c r="E17" s="61">
        <f t="shared" ref="E17:E22" si="3">VLOOKUP($D17,$Q$7:$R$69,2,0)</f>
        <v>0.96644084643352246</v>
      </c>
      <c r="F17" s="355"/>
      <c r="K17" s="5"/>
      <c r="Q17" s="93" t="s">
        <v>262</v>
      </c>
      <c r="R17" s="94">
        <v>0.90135028841111697</v>
      </c>
      <c r="S17" s="93" t="s">
        <v>208</v>
      </c>
      <c r="W17" s="45" t="s">
        <v>290</v>
      </c>
      <c r="X17" s="46" t="s">
        <v>146</v>
      </c>
      <c r="Y17" s="46">
        <v>14</v>
      </c>
      <c r="Z17" s="46" t="s">
        <v>291</v>
      </c>
      <c r="AA17" s="61">
        <v>1</v>
      </c>
      <c r="AC17" s="67" t="s">
        <v>150</v>
      </c>
      <c r="AD17" s="68"/>
      <c r="AE17" s="68"/>
      <c r="AF17" s="42">
        <f>AVERAGE(Y$50:Y$69)</f>
        <v>14.55</v>
      </c>
      <c r="AG17" s="79">
        <f>AF17-Credit_2009Q4!AF17</f>
        <v>-4.9999999999998934E-2</v>
      </c>
    </row>
    <row r="18" spans="1:33" ht="14.4" thickBot="1" x14ac:dyDescent="0.35">
      <c r="A18" s="45" t="s">
        <v>256</v>
      </c>
      <c r="B18" s="46" t="s">
        <v>144</v>
      </c>
      <c r="C18" s="46">
        <v>16</v>
      </c>
      <c r="D18" s="46" t="s">
        <v>257</v>
      </c>
      <c r="E18" s="61">
        <f t="shared" si="3"/>
        <v>0.94699999999999995</v>
      </c>
      <c r="F18" s="355"/>
      <c r="K18" s="5"/>
      <c r="Q18" s="93" t="s">
        <v>388</v>
      </c>
      <c r="R18" s="94">
        <v>0.91044690077830015</v>
      </c>
      <c r="S18" s="93" t="s">
        <v>208</v>
      </c>
      <c r="W18" s="45" t="s">
        <v>364</v>
      </c>
      <c r="X18" s="46" t="s">
        <v>146</v>
      </c>
      <c r="Y18" s="46">
        <v>14</v>
      </c>
      <c r="Z18" s="46" t="s">
        <v>365</v>
      </c>
      <c r="AA18" s="61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3.8" x14ac:dyDescent="0.3">
      <c r="A19" s="37" t="s">
        <v>222</v>
      </c>
      <c r="B19" s="44" t="s">
        <v>145</v>
      </c>
      <c r="C19" s="44">
        <v>15</v>
      </c>
      <c r="D19" s="44" t="s">
        <v>223</v>
      </c>
      <c r="E19" s="60">
        <f t="shared" si="3"/>
        <v>0.91262379340604238</v>
      </c>
      <c r="F19" s="355"/>
      <c r="K19" s="5"/>
      <c r="Q19" s="93" t="s">
        <v>255</v>
      </c>
      <c r="R19" s="94">
        <v>0.72270267536539723</v>
      </c>
      <c r="S19" s="93" t="s">
        <v>209</v>
      </c>
      <c r="W19" s="37" t="s">
        <v>292</v>
      </c>
      <c r="X19" s="44" t="s">
        <v>147</v>
      </c>
      <c r="Y19" s="44">
        <v>13</v>
      </c>
      <c r="Z19" s="44" t="s">
        <v>451</v>
      </c>
      <c r="AA19" s="60">
        <v>1</v>
      </c>
      <c r="AC19" s="37" t="s">
        <v>142</v>
      </c>
      <c r="AD19" s="49">
        <f>COUNTIF(Y$50:Y$69,"&gt;16")</f>
        <v>1</v>
      </c>
      <c r="AE19" s="50">
        <f>AD19/AD$14</f>
        <v>2.8571428571428571E-2</v>
      </c>
      <c r="AG19" s="80"/>
    </row>
    <row r="20" spans="1:33" ht="13.8" x14ac:dyDescent="0.3">
      <c r="A20" s="37" t="s">
        <v>224</v>
      </c>
      <c r="B20" s="44" t="s">
        <v>145</v>
      </c>
      <c r="C20" s="44">
        <v>15</v>
      </c>
      <c r="D20" s="44" t="s">
        <v>225</v>
      </c>
      <c r="E20" s="60">
        <f t="shared" si="3"/>
        <v>0.84890438247011957</v>
      </c>
      <c r="F20" s="355"/>
      <c r="K20" s="5"/>
      <c r="Q20" s="93" t="s">
        <v>435</v>
      </c>
      <c r="R20" s="94">
        <v>0.99675869094774683</v>
      </c>
      <c r="S20" s="93" t="s">
        <v>208</v>
      </c>
      <c r="W20" s="37" t="s">
        <v>306</v>
      </c>
      <c r="X20" s="44" t="s">
        <v>145</v>
      </c>
      <c r="Y20" s="44">
        <v>15</v>
      </c>
      <c r="Z20" s="44" t="s">
        <v>307</v>
      </c>
      <c r="AA20" s="60">
        <v>0.99967400162999187</v>
      </c>
      <c r="AC20" s="37" t="s">
        <v>144</v>
      </c>
      <c r="AD20" s="49">
        <f>COUNTIF(Y$50:Y$69,"=16")</f>
        <v>3</v>
      </c>
      <c r="AE20" s="50">
        <f t="shared" ref="AE20:AE25" si="4">AD20/AD$14</f>
        <v>8.5714285714285715E-2</v>
      </c>
      <c r="AG20" s="80"/>
    </row>
    <row r="21" spans="1:33" ht="13.8" x14ac:dyDescent="0.3">
      <c r="A21" s="37" t="s">
        <v>266</v>
      </c>
      <c r="B21" s="44" t="s">
        <v>145</v>
      </c>
      <c r="C21" s="44">
        <v>15</v>
      </c>
      <c r="D21" s="44" t="s">
        <v>267</v>
      </c>
      <c r="E21" s="69">
        <f t="shared" si="3"/>
        <v>0.81467245298615421</v>
      </c>
      <c r="F21" s="355"/>
      <c r="Q21" s="93" t="s">
        <v>199</v>
      </c>
      <c r="R21" s="94">
        <v>0.58142655748172922</v>
      </c>
      <c r="S21" s="93" t="s">
        <v>209</v>
      </c>
      <c r="W21" s="37" t="s">
        <v>421</v>
      </c>
      <c r="X21" s="44" t="s">
        <v>180</v>
      </c>
      <c r="Y21" s="44">
        <v>11</v>
      </c>
      <c r="Z21" s="44" t="s">
        <v>422</v>
      </c>
      <c r="AA21" s="60">
        <v>0.99872589064335693</v>
      </c>
      <c r="AC21" s="37" t="s">
        <v>145</v>
      </c>
      <c r="AD21" s="49">
        <f>COUNTIF(Y$50:Y$69,"=15")</f>
        <v>6</v>
      </c>
      <c r="AE21" s="50">
        <f t="shared" si="4"/>
        <v>0.17142857142857143</v>
      </c>
      <c r="AG21" s="80"/>
    </row>
    <row r="22" spans="1:33" ht="13.8" x14ac:dyDescent="0.3">
      <c r="A22" s="37" t="s">
        <v>405</v>
      </c>
      <c r="B22" s="44" t="s">
        <v>145</v>
      </c>
      <c r="C22" s="44">
        <v>15</v>
      </c>
      <c r="D22" s="44" t="s">
        <v>406</v>
      </c>
      <c r="E22" s="60">
        <f t="shared" si="3"/>
        <v>0.66731657086909912</v>
      </c>
      <c r="F22" s="355"/>
      <c r="Q22" s="93" t="s">
        <v>464</v>
      </c>
      <c r="R22" s="94">
        <v>1</v>
      </c>
      <c r="S22" s="93" t="s">
        <v>208</v>
      </c>
      <c r="W22" s="45" t="s">
        <v>441</v>
      </c>
      <c r="X22" s="46" t="s">
        <v>169</v>
      </c>
      <c r="Y22" s="46">
        <v>18</v>
      </c>
      <c r="Z22" s="46" t="s">
        <v>442</v>
      </c>
      <c r="AA22" s="61">
        <v>0.99706741779950658</v>
      </c>
      <c r="AC22" s="37" t="s">
        <v>146</v>
      </c>
      <c r="AD22" s="49">
        <f>COUNTIF(Y$50:Y$69,"=14")</f>
        <v>4</v>
      </c>
      <c r="AE22" s="50">
        <f t="shared" si="4"/>
        <v>0.11428571428571428</v>
      </c>
      <c r="AG22" s="80"/>
    </row>
    <row r="23" spans="1:33" ht="13.8" x14ac:dyDescent="0.3">
      <c r="A23" s="37" t="s">
        <v>452</v>
      </c>
      <c r="B23" s="44" t="s">
        <v>145</v>
      </c>
      <c r="C23" s="44">
        <v>15</v>
      </c>
      <c r="D23" s="44" t="s">
        <v>453</v>
      </c>
      <c r="E23" s="60" t="s">
        <v>433</v>
      </c>
      <c r="F23" s="355"/>
      <c r="Q23" s="93" t="s">
        <v>267</v>
      </c>
      <c r="R23" s="94">
        <v>0.81467245298615421</v>
      </c>
      <c r="S23" s="93" t="s">
        <v>208</v>
      </c>
      <c r="W23" s="37" t="s">
        <v>434</v>
      </c>
      <c r="X23" s="47" t="s">
        <v>433</v>
      </c>
      <c r="Y23" s="47"/>
      <c r="Z23" s="44" t="s">
        <v>435</v>
      </c>
      <c r="AA23" s="69">
        <v>0.99675869094774683</v>
      </c>
      <c r="AC23" s="37" t="s">
        <v>147</v>
      </c>
      <c r="AD23" s="49">
        <f>COUNTIF(Y$50:Y$69,"=13")</f>
        <v>6</v>
      </c>
      <c r="AE23" s="50">
        <f t="shared" si="4"/>
        <v>0.17142857142857143</v>
      </c>
      <c r="AG23" s="80"/>
    </row>
    <row r="24" spans="1:33" ht="14.4" thickBot="1" x14ac:dyDescent="0.35">
      <c r="A24" s="37" t="s">
        <v>454</v>
      </c>
      <c r="B24" s="44" t="s">
        <v>145</v>
      </c>
      <c r="C24" s="44">
        <v>15</v>
      </c>
      <c r="D24" s="44" t="s">
        <v>455</v>
      </c>
      <c r="E24" s="60" t="s">
        <v>433</v>
      </c>
      <c r="F24" s="355"/>
      <c r="Q24" s="93" t="s">
        <v>269</v>
      </c>
      <c r="R24" s="94">
        <v>0.7497019635343618</v>
      </c>
      <c r="S24" s="93" t="s">
        <v>209</v>
      </c>
      <c r="W24" s="45" t="s">
        <v>302</v>
      </c>
      <c r="X24" s="46" t="s">
        <v>146</v>
      </c>
      <c r="Y24" s="46">
        <v>14</v>
      </c>
      <c r="Z24" s="46" t="s">
        <v>303</v>
      </c>
      <c r="AA24" s="61">
        <v>0.99458022018280356</v>
      </c>
      <c r="AC24" s="53" t="s">
        <v>148</v>
      </c>
      <c r="AD24" s="55">
        <f>COUNTIF(Y$50:Y$69,"&lt;13")</f>
        <v>0</v>
      </c>
      <c r="AE24" s="56">
        <f t="shared" si="4"/>
        <v>0</v>
      </c>
      <c r="AG24" s="80"/>
    </row>
    <row r="25" spans="1:33" ht="13.8" x14ac:dyDescent="0.3">
      <c r="A25" s="37" t="s">
        <v>276</v>
      </c>
      <c r="B25" s="44" t="s">
        <v>145</v>
      </c>
      <c r="C25" s="44">
        <v>15</v>
      </c>
      <c r="D25" s="44" t="s">
        <v>277</v>
      </c>
      <c r="E25" s="60">
        <f t="shared" ref="E25:E41" si="5">VLOOKUP($D25,$Q$7:$R$69,2,0)</f>
        <v>0.36017814864816144</v>
      </c>
      <c r="F25" s="355"/>
      <c r="Q25" s="93" t="s">
        <v>465</v>
      </c>
      <c r="R25" s="94">
        <v>0.96341849943457658</v>
      </c>
      <c r="S25" s="93" t="s">
        <v>208</v>
      </c>
      <c r="W25" s="45" t="s">
        <v>310</v>
      </c>
      <c r="X25" s="46" t="s">
        <v>178</v>
      </c>
      <c r="Y25" s="46">
        <v>12</v>
      </c>
      <c r="Z25" s="46" t="s">
        <v>466</v>
      </c>
      <c r="AA25" s="61">
        <v>0.99417211067658851</v>
      </c>
      <c r="AC25" s="41" t="s">
        <v>149</v>
      </c>
      <c r="AD25" s="51">
        <f>SUM(AD19:AD24)</f>
        <v>20</v>
      </c>
      <c r="AE25" s="52">
        <f t="shared" si="4"/>
        <v>0.5714285714285714</v>
      </c>
      <c r="AG25" s="80"/>
    </row>
    <row r="26" spans="1:33" ht="13.8" x14ac:dyDescent="0.3">
      <c r="A26" s="37" t="s">
        <v>418</v>
      </c>
      <c r="B26" s="44" t="s">
        <v>145</v>
      </c>
      <c r="C26" s="44">
        <v>15</v>
      </c>
      <c r="D26" s="44" t="s">
        <v>461</v>
      </c>
      <c r="E26" s="60">
        <f t="shared" si="5"/>
        <v>0.7469877361024081</v>
      </c>
      <c r="F26" s="355"/>
      <c r="Q26" s="93" t="s">
        <v>233</v>
      </c>
      <c r="R26" s="94">
        <v>0.89410444897115693</v>
      </c>
      <c r="S26" s="93" t="s">
        <v>208</v>
      </c>
      <c r="W26" s="45" t="s">
        <v>399</v>
      </c>
      <c r="X26" s="46" t="s">
        <v>146</v>
      </c>
      <c r="Y26" s="46">
        <v>14</v>
      </c>
      <c r="Z26" s="46" t="s">
        <v>400</v>
      </c>
      <c r="AA26" s="61">
        <v>0.9915841495030967</v>
      </c>
      <c r="AG26" s="80"/>
    </row>
    <row r="27" spans="1:33" ht="13.8" x14ac:dyDescent="0.3">
      <c r="A27" s="37" t="s">
        <v>282</v>
      </c>
      <c r="B27" s="44" t="s">
        <v>145</v>
      </c>
      <c r="C27" s="44">
        <v>15</v>
      </c>
      <c r="D27" s="44" t="s">
        <v>283</v>
      </c>
      <c r="E27" s="60">
        <f t="shared" si="5"/>
        <v>0.75386351438754873</v>
      </c>
      <c r="F27" s="355"/>
      <c r="Q27" s="93" t="s">
        <v>378</v>
      </c>
      <c r="R27" s="94">
        <v>1.0293089747728885</v>
      </c>
      <c r="S27" s="93" t="s">
        <v>208</v>
      </c>
      <c r="W27" s="37" t="s">
        <v>300</v>
      </c>
      <c r="X27" s="47" t="s">
        <v>433</v>
      </c>
      <c r="Y27" s="47"/>
      <c r="Z27" s="47" t="s">
        <v>301</v>
      </c>
      <c r="AA27" s="62">
        <v>0.98634859349145065</v>
      </c>
      <c r="AG27" s="80"/>
    </row>
    <row r="28" spans="1:33" ht="13.8" x14ac:dyDescent="0.3">
      <c r="A28" s="37" t="s">
        <v>392</v>
      </c>
      <c r="B28" s="44" t="s">
        <v>145</v>
      </c>
      <c r="C28" s="44">
        <v>15</v>
      </c>
      <c r="D28" s="44" t="s">
        <v>393</v>
      </c>
      <c r="E28" s="69">
        <f>VLOOKUP($D28,$Q$7:$R$69,2,0)</f>
        <v>0.64890043729006908</v>
      </c>
      <c r="F28" s="355"/>
      <c r="Q28" s="93" t="s">
        <v>341</v>
      </c>
      <c r="R28" s="94">
        <v>1</v>
      </c>
      <c r="S28" s="93" t="s">
        <v>208</v>
      </c>
      <c r="W28" s="37" t="s">
        <v>286</v>
      </c>
      <c r="X28" s="44" t="s">
        <v>147</v>
      </c>
      <c r="Y28" s="44">
        <v>13</v>
      </c>
      <c r="Z28" s="44" t="s">
        <v>287</v>
      </c>
      <c r="AA28" s="60">
        <v>0.97501693766937669</v>
      </c>
      <c r="AC28" s="67" t="s">
        <v>152</v>
      </c>
      <c r="AD28" s="68"/>
      <c r="AE28" s="68"/>
      <c r="AF28" s="42">
        <f>AVERAGE(Y$70:Y$74)</f>
        <v>12.4</v>
      </c>
      <c r="AG28" s="79">
        <f>AF28-Credit_2009Q4!AF28</f>
        <v>-0.19999999999999929</v>
      </c>
    </row>
    <row r="29" spans="1:33" ht="14.4" thickBot="1" x14ac:dyDescent="0.35">
      <c r="A29" s="37" t="s">
        <v>306</v>
      </c>
      <c r="B29" s="44" t="s">
        <v>145</v>
      </c>
      <c r="C29" s="44">
        <v>15</v>
      </c>
      <c r="D29" s="44" t="s">
        <v>307</v>
      </c>
      <c r="E29" s="60">
        <f t="shared" si="5"/>
        <v>0.99967400162999187</v>
      </c>
      <c r="F29" s="355"/>
      <c r="Q29" s="93" t="s">
        <v>467</v>
      </c>
      <c r="R29" s="94">
        <v>0.27230062686467099</v>
      </c>
      <c r="S29" s="93" t="s">
        <v>199</v>
      </c>
      <c r="W29" s="45" t="s">
        <v>227</v>
      </c>
      <c r="X29" s="46" t="s">
        <v>146</v>
      </c>
      <c r="Y29" s="46">
        <v>14</v>
      </c>
      <c r="Z29" s="46" t="s">
        <v>228</v>
      </c>
      <c r="AA29" s="61">
        <v>0.97067096880946468</v>
      </c>
      <c r="AC29" s="57" t="s">
        <v>215</v>
      </c>
      <c r="AD29" s="57" t="s">
        <v>139</v>
      </c>
      <c r="AE29" s="57" t="s">
        <v>140</v>
      </c>
    </row>
    <row r="30" spans="1:33" ht="13.8" x14ac:dyDescent="0.3">
      <c r="A30" s="37" t="s">
        <v>248</v>
      </c>
      <c r="B30" s="44" t="s">
        <v>145</v>
      </c>
      <c r="C30" s="44">
        <v>15</v>
      </c>
      <c r="D30" s="44" t="s">
        <v>249</v>
      </c>
      <c r="E30" s="69">
        <f>VLOOKUP($D30,$Q$7:$R$69,2,0)</f>
        <v>0.42404692082111439</v>
      </c>
      <c r="F30" s="355"/>
      <c r="Q30" s="93" t="s">
        <v>271</v>
      </c>
      <c r="R30" s="94">
        <v>0.78356336260978665</v>
      </c>
      <c r="S30" s="93" t="s">
        <v>209</v>
      </c>
      <c r="W30" s="37" t="s">
        <v>468</v>
      </c>
      <c r="X30" s="44" t="s">
        <v>178</v>
      </c>
      <c r="Y30" s="44">
        <v>12</v>
      </c>
      <c r="Z30" s="44" t="s">
        <v>469</v>
      </c>
      <c r="AA30" s="69">
        <v>0.97028603165787286</v>
      </c>
      <c r="AC30" s="37" t="s">
        <v>142</v>
      </c>
      <c r="AD30" s="49">
        <f>COUNTIF(Y$70:Y$74,"&gt;16")</f>
        <v>0</v>
      </c>
      <c r="AE30" s="50">
        <f>AD30/AD$14</f>
        <v>0</v>
      </c>
    </row>
    <row r="31" spans="1:33" ht="13.8" x14ac:dyDescent="0.3">
      <c r="A31" s="37" t="s">
        <v>437</v>
      </c>
      <c r="B31" s="44" t="s">
        <v>145</v>
      </c>
      <c r="C31" s="44">
        <v>15</v>
      </c>
      <c r="D31" s="44" t="s">
        <v>438</v>
      </c>
      <c r="E31" s="60">
        <f t="shared" si="5"/>
        <v>0.85164553720066594</v>
      </c>
      <c r="F31" s="355"/>
      <c r="K31" s="122"/>
      <c r="L31" s="122"/>
      <c r="Q31" s="93" t="s">
        <v>273</v>
      </c>
      <c r="R31" s="94">
        <v>0.79472908539599674</v>
      </c>
      <c r="S31" s="93" t="s">
        <v>209</v>
      </c>
      <c r="W31" s="45" t="s">
        <v>355</v>
      </c>
      <c r="X31" s="46" t="s">
        <v>144</v>
      </c>
      <c r="Y31" s="46">
        <v>16</v>
      </c>
      <c r="Z31" s="46" t="s">
        <v>356</v>
      </c>
      <c r="AA31" s="61">
        <v>0.96644084643352246</v>
      </c>
      <c r="AC31" s="37" t="s">
        <v>144</v>
      </c>
      <c r="AD31" s="49">
        <f>COUNTIF(Y$70:Y$74,"=16")</f>
        <v>0</v>
      </c>
      <c r="AE31" s="50">
        <f t="shared" ref="AE31:AE36" si="6">AD31/AD$14</f>
        <v>0</v>
      </c>
    </row>
    <row r="32" spans="1:33" ht="13.8" x14ac:dyDescent="0.3">
      <c r="A32" s="37" t="s">
        <v>357</v>
      </c>
      <c r="B32" s="44" t="s">
        <v>145</v>
      </c>
      <c r="C32" s="44">
        <v>15</v>
      </c>
      <c r="D32" s="44" t="s">
        <v>358</v>
      </c>
      <c r="E32" s="60">
        <f t="shared" si="5"/>
        <v>0.77327600463039525</v>
      </c>
      <c r="F32" s="355"/>
      <c r="L32" s="122"/>
      <c r="Q32" s="93" t="s">
        <v>275</v>
      </c>
      <c r="R32" s="94">
        <v>0.60422936152907691</v>
      </c>
      <c r="S32" s="93" t="s">
        <v>209</v>
      </c>
      <c r="W32" s="45" t="s">
        <v>470</v>
      </c>
      <c r="X32" s="46" t="s">
        <v>144</v>
      </c>
      <c r="Y32" s="46">
        <v>16</v>
      </c>
      <c r="Z32" s="46" t="s">
        <v>465</v>
      </c>
      <c r="AA32" s="61">
        <v>0.96341849943457658</v>
      </c>
      <c r="AC32" s="37" t="s">
        <v>145</v>
      </c>
      <c r="AD32" s="49">
        <f>COUNTIF(Y$70:Y$74,"=15")</f>
        <v>2</v>
      </c>
      <c r="AE32" s="50">
        <f t="shared" si="6"/>
        <v>5.7142857142857141E-2</v>
      </c>
    </row>
    <row r="33" spans="1:31" ht="13.8" x14ac:dyDescent="0.3">
      <c r="A33" s="37" t="s">
        <v>296</v>
      </c>
      <c r="B33" s="44" t="s">
        <v>145</v>
      </c>
      <c r="C33" s="44">
        <v>15</v>
      </c>
      <c r="D33" s="44" t="s">
        <v>297</v>
      </c>
      <c r="E33" s="60">
        <f t="shared" si="5"/>
        <v>0.614337822671156</v>
      </c>
      <c r="F33" s="355"/>
      <c r="L33" s="122"/>
      <c r="Q33" s="93" t="s">
        <v>281</v>
      </c>
      <c r="R33" s="94">
        <v>0.66983442164179108</v>
      </c>
      <c r="S33" s="93" t="s">
        <v>209</v>
      </c>
      <c r="W33" s="45" t="s">
        <v>404</v>
      </c>
      <c r="X33" s="46" t="s">
        <v>146</v>
      </c>
      <c r="Y33" s="46">
        <v>14</v>
      </c>
      <c r="Z33" s="46" t="s">
        <v>241</v>
      </c>
      <c r="AA33" s="61">
        <v>0.9619710194413027</v>
      </c>
      <c r="AC33" s="37" t="s">
        <v>146</v>
      </c>
      <c r="AD33" s="49">
        <f>COUNTIF(Y$70:Y$74,"=14")</f>
        <v>0</v>
      </c>
      <c r="AE33" s="50">
        <f t="shared" si="6"/>
        <v>0</v>
      </c>
    </row>
    <row r="34" spans="1:31" ht="13.8" x14ac:dyDescent="0.3">
      <c r="A34" s="37" t="s">
        <v>252</v>
      </c>
      <c r="B34" s="44" t="s">
        <v>145</v>
      </c>
      <c r="C34" s="44">
        <v>15</v>
      </c>
      <c r="D34" s="44" t="s">
        <v>253</v>
      </c>
      <c r="E34" s="60">
        <f t="shared" si="5"/>
        <v>0.84932154135723226</v>
      </c>
      <c r="F34" s="355"/>
      <c r="L34" s="122"/>
      <c r="Q34" s="93" t="s">
        <v>363</v>
      </c>
      <c r="R34" s="94">
        <v>1.0333026830763428</v>
      </c>
      <c r="S34" s="93" t="s">
        <v>208</v>
      </c>
      <c r="W34" s="45" t="s">
        <v>288</v>
      </c>
      <c r="X34" s="46" t="s">
        <v>146</v>
      </c>
      <c r="Y34" s="46">
        <v>14</v>
      </c>
      <c r="Z34" s="46" t="s">
        <v>289</v>
      </c>
      <c r="AA34" s="61">
        <v>0.96099371344273887</v>
      </c>
      <c r="AC34" s="37" t="s">
        <v>147</v>
      </c>
      <c r="AD34" s="49">
        <f>COUNTIF(Y$70:Y$74,"=13")</f>
        <v>2</v>
      </c>
      <c r="AE34" s="50">
        <f t="shared" si="6"/>
        <v>5.7142857142857141E-2</v>
      </c>
    </row>
    <row r="35" spans="1:31" ht="14.4" thickBot="1" x14ac:dyDescent="0.35">
      <c r="A35" s="45" t="s">
        <v>227</v>
      </c>
      <c r="B35" s="46" t="s">
        <v>146</v>
      </c>
      <c r="C35" s="46">
        <v>14</v>
      </c>
      <c r="D35" s="46" t="s">
        <v>228</v>
      </c>
      <c r="E35" s="61">
        <f t="shared" si="5"/>
        <v>0.97067096880946468</v>
      </c>
      <c r="F35" s="355"/>
      <c r="G35" s="49" t="s">
        <v>383</v>
      </c>
      <c r="L35" s="122"/>
      <c r="Q35" s="93" t="s">
        <v>285</v>
      </c>
      <c r="R35" s="94">
        <v>0.44575810739314115</v>
      </c>
      <c r="S35" s="93" t="s">
        <v>199</v>
      </c>
      <c r="W35" s="45" t="s">
        <v>256</v>
      </c>
      <c r="X35" s="46" t="s">
        <v>144</v>
      </c>
      <c r="Y35" s="46">
        <v>16</v>
      </c>
      <c r="Z35" s="46" t="s">
        <v>257</v>
      </c>
      <c r="AA35" s="61">
        <v>0.94699999999999995</v>
      </c>
      <c r="AC35" s="53" t="s">
        <v>148</v>
      </c>
      <c r="AD35" s="55">
        <f>COUNTIF(Y$70:Y$74,"&lt;13")</f>
        <v>1</v>
      </c>
      <c r="AE35" s="56">
        <f t="shared" si="6"/>
        <v>2.8571428571428571E-2</v>
      </c>
    </row>
    <row r="36" spans="1:31" ht="13.8" x14ac:dyDescent="0.3">
      <c r="A36" s="45" t="s">
        <v>254</v>
      </c>
      <c r="B36" s="46" t="s">
        <v>146</v>
      </c>
      <c r="C36" s="46">
        <v>14</v>
      </c>
      <c r="D36" s="46" t="s">
        <v>255</v>
      </c>
      <c r="E36" s="61">
        <f t="shared" si="5"/>
        <v>0.72270267536539723</v>
      </c>
      <c r="F36" s="355"/>
      <c r="G36" s="92"/>
      <c r="H36" s="7"/>
      <c r="I36" s="7"/>
      <c r="L36" s="122"/>
      <c r="Q36" s="93" t="s">
        <v>289</v>
      </c>
      <c r="R36" s="94">
        <v>0.96099371344273887</v>
      </c>
      <c r="S36" s="93" t="s">
        <v>208</v>
      </c>
      <c r="W36" s="37" t="s">
        <v>243</v>
      </c>
      <c r="X36" s="44" t="s">
        <v>147</v>
      </c>
      <c r="Y36" s="44">
        <v>13</v>
      </c>
      <c r="Z36" s="44" t="s">
        <v>244</v>
      </c>
      <c r="AA36" s="60">
        <v>0.9427287640364086</v>
      </c>
      <c r="AC36" s="41" t="s">
        <v>149</v>
      </c>
      <c r="AD36" s="51">
        <f>SUM(AD30:AD35)</f>
        <v>5</v>
      </c>
      <c r="AE36" s="52">
        <f t="shared" si="6"/>
        <v>0.14285714285714285</v>
      </c>
    </row>
    <row r="37" spans="1:31" ht="13.8" x14ac:dyDescent="0.3">
      <c r="A37" s="45" t="s">
        <v>259</v>
      </c>
      <c r="B37" s="46" t="s">
        <v>146</v>
      </c>
      <c r="C37" s="46">
        <v>14</v>
      </c>
      <c r="D37" s="46" t="s">
        <v>388</v>
      </c>
      <c r="E37" s="61">
        <f t="shared" si="5"/>
        <v>0.91044690077830015</v>
      </c>
      <c r="F37" s="355"/>
      <c r="H37" s="5"/>
      <c r="J37" s="7"/>
      <c r="Q37" s="93" t="s">
        <v>225</v>
      </c>
      <c r="R37" s="94">
        <v>0.84890438247011957</v>
      </c>
      <c r="S37" s="93" t="s">
        <v>208</v>
      </c>
      <c r="W37" s="37" t="s">
        <v>298</v>
      </c>
      <c r="X37" s="44" t="s">
        <v>171</v>
      </c>
      <c r="Y37" s="44">
        <v>17</v>
      </c>
      <c r="Z37" s="44" t="s">
        <v>299</v>
      </c>
      <c r="AA37" s="60">
        <v>0.93000422702993502</v>
      </c>
    </row>
    <row r="38" spans="1:31" ht="13.8" x14ac:dyDescent="0.3">
      <c r="A38" s="45" t="s">
        <v>338</v>
      </c>
      <c r="B38" s="46" t="s">
        <v>146</v>
      </c>
      <c r="C38" s="46">
        <v>14</v>
      </c>
      <c r="D38" s="46" t="s">
        <v>341</v>
      </c>
      <c r="E38" s="61">
        <f t="shared" si="5"/>
        <v>1</v>
      </c>
      <c r="F38" s="355"/>
      <c r="H38" s="5"/>
      <c r="J38" s="8"/>
      <c r="Q38" s="93" t="s">
        <v>486</v>
      </c>
      <c r="R38" s="94">
        <v>0.98237685298627964</v>
      </c>
      <c r="S38" s="93" t="s">
        <v>208</v>
      </c>
      <c r="W38" s="37" t="s">
        <v>222</v>
      </c>
      <c r="X38" s="44" t="s">
        <v>145</v>
      </c>
      <c r="Y38" s="44">
        <v>15</v>
      </c>
      <c r="Z38" s="44" t="s">
        <v>223</v>
      </c>
      <c r="AA38" s="60">
        <v>0.91262379340604238</v>
      </c>
    </row>
    <row r="39" spans="1:31" ht="13.8" x14ac:dyDescent="0.3">
      <c r="A39" s="45" t="s">
        <v>272</v>
      </c>
      <c r="B39" s="46" t="s">
        <v>146</v>
      </c>
      <c r="C39" s="46">
        <v>14</v>
      </c>
      <c r="D39" s="46" t="s">
        <v>273</v>
      </c>
      <c r="E39" s="61">
        <f t="shared" si="5"/>
        <v>0.79472908539599674</v>
      </c>
      <c r="F39" s="355"/>
      <c r="H39" s="5"/>
      <c r="J39" s="8"/>
      <c r="Q39" s="93" t="s">
        <v>277</v>
      </c>
      <c r="R39" s="94">
        <v>0.36017814864816144</v>
      </c>
      <c r="S39" s="93" t="s">
        <v>199</v>
      </c>
      <c r="W39" s="45" t="s">
        <v>259</v>
      </c>
      <c r="X39" s="46" t="s">
        <v>146</v>
      </c>
      <c r="Y39" s="46">
        <v>14</v>
      </c>
      <c r="Z39" s="46" t="s">
        <v>388</v>
      </c>
      <c r="AA39" s="61">
        <v>0.91044690077830015</v>
      </c>
    </row>
    <row r="40" spans="1:31" ht="13.8" x14ac:dyDescent="0.3">
      <c r="A40" s="45" t="s">
        <v>274</v>
      </c>
      <c r="B40" s="46" t="s">
        <v>146</v>
      </c>
      <c r="C40" s="46">
        <v>14</v>
      </c>
      <c r="D40" s="46" t="s">
        <v>275</v>
      </c>
      <c r="E40" s="61">
        <f t="shared" si="5"/>
        <v>0.60422936152907691</v>
      </c>
      <c r="F40" s="355"/>
      <c r="H40" s="5"/>
      <c r="J40" s="8"/>
      <c r="Q40" s="93" t="s">
        <v>471</v>
      </c>
      <c r="R40" s="94">
        <v>0.77794419936265724</v>
      </c>
      <c r="S40" s="93" t="s">
        <v>209</v>
      </c>
      <c r="W40" s="45" t="s">
        <v>379</v>
      </c>
      <c r="X40" s="46" t="s">
        <v>146</v>
      </c>
      <c r="Y40" s="46">
        <v>14</v>
      </c>
      <c r="Z40" s="46" t="s">
        <v>385</v>
      </c>
      <c r="AA40" s="61">
        <v>0.90975829351063098</v>
      </c>
    </row>
    <row r="41" spans="1:31" ht="13.8" x14ac:dyDescent="0.3">
      <c r="A41" s="45" t="s">
        <v>362</v>
      </c>
      <c r="B41" s="46" t="s">
        <v>146</v>
      </c>
      <c r="C41" s="46">
        <v>14</v>
      </c>
      <c r="D41" s="46" t="s">
        <v>363</v>
      </c>
      <c r="E41" s="61">
        <f t="shared" si="5"/>
        <v>1.0333026830763428</v>
      </c>
      <c r="F41" s="355"/>
      <c r="H41" s="5"/>
      <c r="J41" s="8"/>
      <c r="Q41" s="93" t="s">
        <v>246</v>
      </c>
      <c r="R41" s="94">
        <v>0.55330389203021169</v>
      </c>
      <c r="S41" s="93" t="s">
        <v>209</v>
      </c>
      <c r="W41" s="37" t="s">
        <v>261</v>
      </c>
      <c r="X41" s="44" t="s">
        <v>147</v>
      </c>
      <c r="Y41" s="44">
        <v>13</v>
      </c>
      <c r="Z41" s="44" t="s">
        <v>262</v>
      </c>
      <c r="AA41" s="60">
        <v>0.90135028841111697</v>
      </c>
    </row>
    <row r="42" spans="1:31" ht="13.8" x14ac:dyDescent="0.3">
      <c r="A42" s="45" t="s">
        <v>456</v>
      </c>
      <c r="B42" s="46" t="s">
        <v>146</v>
      </c>
      <c r="C42" s="46">
        <v>14</v>
      </c>
      <c r="D42" s="46" t="s">
        <v>457</v>
      </c>
      <c r="E42" s="61" t="s">
        <v>433</v>
      </c>
      <c r="F42" s="355"/>
      <c r="H42" s="5"/>
      <c r="J42" s="8"/>
      <c r="Q42" s="93" t="s">
        <v>279</v>
      </c>
      <c r="R42" s="94">
        <v>0.58034319753835939</v>
      </c>
      <c r="S42" s="93" t="s">
        <v>209</v>
      </c>
      <c r="W42" s="45" t="s">
        <v>232</v>
      </c>
      <c r="X42" s="46" t="s">
        <v>144</v>
      </c>
      <c r="Y42" s="46">
        <v>16</v>
      </c>
      <c r="Z42" s="46" t="s">
        <v>233</v>
      </c>
      <c r="AA42" s="61">
        <v>0.89410444897115693</v>
      </c>
    </row>
    <row r="43" spans="1:31" ht="13.8" x14ac:dyDescent="0.3">
      <c r="A43" s="45" t="s">
        <v>288</v>
      </c>
      <c r="B43" s="46" t="s">
        <v>146</v>
      </c>
      <c r="C43" s="46">
        <v>14</v>
      </c>
      <c r="D43" s="46" t="s">
        <v>289</v>
      </c>
      <c r="E43" s="61">
        <f t="shared" ref="E43:E56" si="7">VLOOKUP($D43,$Q$7:$R$69,2,0)</f>
        <v>0.96099371344273887</v>
      </c>
      <c r="F43" s="355"/>
      <c r="Q43" s="93" t="s">
        <v>442</v>
      </c>
      <c r="R43" s="94">
        <v>0.99706741779950658</v>
      </c>
      <c r="S43" s="93" t="s">
        <v>208</v>
      </c>
      <c r="W43" s="45" t="s">
        <v>308</v>
      </c>
      <c r="X43" s="46" t="s">
        <v>182</v>
      </c>
      <c r="Y43" s="46">
        <v>10</v>
      </c>
      <c r="Z43" s="46" t="s">
        <v>309</v>
      </c>
      <c r="AA43" s="61">
        <v>0.89259170051200387</v>
      </c>
    </row>
    <row r="44" spans="1:31" ht="13.8" x14ac:dyDescent="0.3">
      <c r="A44" s="45" t="s">
        <v>404</v>
      </c>
      <c r="B44" s="46" t="s">
        <v>146</v>
      </c>
      <c r="C44" s="46">
        <v>14</v>
      </c>
      <c r="D44" s="46" t="s">
        <v>241</v>
      </c>
      <c r="E44" s="61">
        <f t="shared" si="7"/>
        <v>0.9619710194413027</v>
      </c>
      <c r="F44" s="355"/>
      <c r="Q44" s="93" t="s">
        <v>241</v>
      </c>
      <c r="R44" s="94">
        <v>0.9619710194413027</v>
      </c>
      <c r="S44" s="93" t="s">
        <v>208</v>
      </c>
      <c r="W44" s="37" t="s">
        <v>472</v>
      </c>
      <c r="X44" s="44" t="s">
        <v>171</v>
      </c>
      <c r="Y44" s="44">
        <v>17</v>
      </c>
      <c r="Z44" s="44" t="s">
        <v>463</v>
      </c>
      <c r="AA44" s="60">
        <v>0.87497195036407094</v>
      </c>
    </row>
    <row r="45" spans="1:31" ht="13.8" x14ac:dyDescent="0.3">
      <c r="A45" s="45" t="s">
        <v>302</v>
      </c>
      <c r="B45" s="46" t="s">
        <v>146</v>
      </c>
      <c r="C45" s="46">
        <v>14</v>
      </c>
      <c r="D45" s="46" t="s">
        <v>303</v>
      </c>
      <c r="E45" s="61">
        <f t="shared" si="7"/>
        <v>0.99458022018280356</v>
      </c>
      <c r="F45" s="355"/>
      <c r="Q45" s="93" t="s">
        <v>422</v>
      </c>
      <c r="R45" s="94">
        <v>0.99872589064335693</v>
      </c>
      <c r="S45" s="93" t="s">
        <v>208</v>
      </c>
      <c r="W45" s="37" t="s">
        <v>437</v>
      </c>
      <c r="X45" s="44" t="s">
        <v>145</v>
      </c>
      <c r="Y45" s="44">
        <v>15</v>
      </c>
      <c r="Z45" s="44" t="s">
        <v>438</v>
      </c>
      <c r="AA45" s="60">
        <v>0.85164553720066594</v>
      </c>
    </row>
    <row r="46" spans="1:31" ht="13.8" x14ac:dyDescent="0.3">
      <c r="A46" s="45" t="s">
        <v>290</v>
      </c>
      <c r="B46" s="46" t="s">
        <v>146</v>
      </c>
      <c r="C46" s="46">
        <v>14</v>
      </c>
      <c r="D46" s="46" t="s">
        <v>291</v>
      </c>
      <c r="E46" s="61">
        <f t="shared" si="7"/>
        <v>1</v>
      </c>
      <c r="F46" s="355"/>
      <c r="G46" s="122"/>
      <c r="J46" s="122"/>
      <c r="Q46" s="93" t="s">
        <v>303</v>
      </c>
      <c r="R46" s="94">
        <v>0.99458022018280356</v>
      </c>
      <c r="S46" s="93" t="s">
        <v>208</v>
      </c>
      <c r="W46" s="37" t="s">
        <v>252</v>
      </c>
      <c r="X46" s="44" t="s">
        <v>145</v>
      </c>
      <c r="Y46" s="44">
        <v>15</v>
      </c>
      <c r="Z46" s="44" t="s">
        <v>253</v>
      </c>
      <c r="AA46" s="60">
        <v>0.84932154135723226</v>
      </c>
    </row>
    <row r="47" spans="1:31" ht="13.8" x14ac:dyDescent="0.3">
      <c r="A47" s="45" t="s">
        <v>294</v>
      </c>
      <c r="B47" s="46" t="s">
        <v>146</v>
      </c>
      <c r="C47" s="46">
        <v>14</v>
      </c>
      <c r="D47" s="46" t="s">
        <v>295</v>
      </c>
      <c r="E47" s="61">
        <f t="shared" si="7"/>
        <v>0.57546119039331711</v>
      </c>
      <c r="F47" s="355"/>
      <c r="G47" s="122"/>
      <c r="I47" s="122"/>
      <c r="J47" s="122"/>
      <c r="Q47" s="93" t="s">
        <v>283</v>
      </c>
      <c r="R47" s="94">
        <v>0.75386351438754873</v>
      </c>
      <c r="S47" s="93" t="s">
        <v>209</v>
      </c>
      <c r="W47" s="37" t="s">
        <v>224</v>
      </c>
      <c r="X47" s="44" t="s">
        <v>145</v>
      </c>
      <c r="Y47" s="44">
        <v>15</v>
      </c>
      <c r="Z47" s="44" t="s">
        <v>225</v>
      </c>
      <c r="AA47" s="60">
        <v>0.84890438247011957</v>
      </c>
    </row>
    <row r="48" spans="1:31" ht="13.8" x14ac:dyDescent="0.3">
      <c r="A48" s="45" t="s">
        <v>379</v>
      </c>
      <c r="B48" s="46" t="s">
        <v>146</v>
      </c>
      <c r="C48" s="46">
        <v>14</v>
      </c>
      <c r="D48" s="46" t="s">
        <v>385</v>
      </c>
      <c r="E48" s="61">
        <f t="shared" si="7"/>
        <v>0.90975829351063098</v>
      </c>
      <c r="F48" s="355"/>
      <c r="G48" s="122"/>
      <c r="I48" s="122"/>
      <c r="J48" s="122"/>
      <c r="Q48" s="93" t="s">
        <v>305</v>
      </c>
      <c r="R48" s="94">
        <v>0.63819230650865855</v>
      </c>
      <c r="S48" s="93" t="s">
        <v>209</v>
      </c>
      <c r="W48" s="37" t="s">
        <v>230</v>
      </c>
      <c r="X48" s="44" t="s">
        <v>147</v>
      </c>
      <c r="Y48" s="44">
        <v>13</v>
      </c>
      <c r="Z48" s="44" t="s">
        <v>231</v>
      </c>
      <c r="AA48" s="60">
        <v>0.82576712904581762</v>
      </c>
    </row>
    <row r="49" spans="1:27" ht="13.8" x14ac:dyDescent="0.3">
      <c r="A49" s="45" t="s">
        <v>399</v>
      </c>
      <c r="B49" s="46" t="s">
        <v>146</v>
      </c>
      <c r="C49" s="46">
        <v>14</v>
      </c>
      <c r="D49" s="46" t="s">
        <v>400</v>
      </c>
      <c r="E49" s="61">
        <f t="shared" si="7"/>
        <v>0.9915841495030967</v>
      </c>
      <c r="F49" s="355"/>
      <c r="G49" s="122"/>
      <c r="I49" s="122"/>
      <c r="J49" s="122"/>
      <c r="Q49" s="93" t="s">
        <v>307</v>
      </c>
      <c r="R49" s="94">
        <v>0.99967400162999187</v>
      </c>
      <c r="S49" s="93" t="s">
        <v>208</v>
      </c>
      <c r="W49" s="37" t="s">
        <v>266</v>
      </c>
      <c r="X49" s="44" t="s">
        <v>145</v>
      </c>
      <c r="Y49" s="44">
        <v>15</v>
      </c>
      <c r="Z49" s="44" t="s">
        <v>267</v>
      </c>
      <c r="AA49" s="69">
        <v>0.81467245298615421</v>
      </c>
    </row>
    <row r="50" spans="1:27" ht="13.8" x14ac:dyDescent="0.3">
      <c r="A50" s="45" t="s">
        <v>364</v>
      </c>
      <c r="B50" s="46" t="s">
        <v>146</v>
      </c>
      <c r="C50" s="46">
        <v>14</v>
      </c>
      <c r="D50" s="46" t="s">
        <v>365</v>
      </c>
      <c r="E50" s="61">
        <f t="shared" si="7"/>
        <v>1</v>
      </c>
      <c r="F50" s="355"/>
      <c r="G50" s="122"/>
      <c r="I50" s="122"/>
      <c r="J50" s="122"/>
      <c r="Q50" s="93" t="s">
        <v>295</v>
      </c>
      <c r="R50" s="94">
        <v>0.57546119039331711</v>
      </c>
      <c r="S50" s="93" t="s">
        <v>209</v>
      </c>
      <c r="W50" s="45" t="s">
        <v>272</v>
      </c>
      <c r="X50" s="46" t="s">
        <v>146</v>
      </c>
      <c r="Y50" s="46">
        <v>14</v>
      </c>
      <c r="Z50" s="46" t="s">
        <v>273</v>
      </c>
      <c r="AA50" s="61">
        <v>0.79472908539599674</v>
      </c>
    </row>
    <row r="51" spans="1:27" ht="13.8" x14ac:dyDescent="0.3">
      <c r="A51" s="37" t="s">
        <v>475</v>
      </c>
      <c r="B51" s="44" t="s">
        <v>147</v>
      </c>
      <c r="C51" s="44">
        <v>13</v>
      </c>
      <c r="D51" s="44" t="s">
        <v>458</v>
      </c>
      <c r="E51" s="60">
        <f t="shared" si="7"/>
        <v>0.62875460562079877</v>
      </c>
      <c r="F51" s="355"/>
      <c r="I51" s="122"/>
      <c r="J51" s="122"/>
      <c r="Q51" s="93" t="s">
        <v>438</v>
      </c>
      <c r="R51" s="94">
        <v>0.85164553720066594</v>
      </c>
      <c r="S51" s="93" t="s">
        <v>208</v>
      </c>
      <c r="W51" s="37" t="s">
        <v>270</v>
      </c>
      <c r="X51" s="44" t="s">
        <v>147</v>
      </c>
      <c r="Y51" s="44">
        <v>13</v>
      </c>
      <c r="Z51" s="44" t="s">
        <v>271</v>
      </c>
      <c r="AA51" s="60">
        <v>0.78356336260978665</v>
      </c>
    </row>
    <row r="52" spans="1:27" ht="13.8" x14ac:dyDescent="0.3">
      <c r="A52" s="37" t="s">
        <v>230</v>
      </c>
      <c r="B52" s="44" t="s">
        <v>147</v>
      </c>
      <c r="C52" s="44">
        <v>13</v>
      </c>
      <c r="D52" s="44" t="s">
        <v>231</v>
      </c>
      <c r="E52" s="60">
        <f t="shared" si="7"/>
        <v>0.82576712904581762</v>
      </c>
      <c r="F52" s="355"/>
      <c r="Q52" s="93" t="s">
        <v>309</v>
      </c>
      <c r="R52" s="94">
        <v>0.89259170051200387</v>
      </c>
      <c r="S52" s="93" t="s">
        <v>208</v>
      </c>
      <c r="W52" s="37" t="s">
        <v>474</v>
      </c>
      <c r="X52" s="44" t="s">
        <v>167</v>
      </c>
      <c r="Y52" s="44">
        <v>19</v>
      </c>
      <c r="Z52" s="44" t="s">
        <v>471</v>
      </c>
      <c r="AA52" s="60">
        <v>0.77794419936265724</v>
      </c>
    </row>
    <row r="53" spans="1:27" ht="13.8" x14ac:dyDescent="0.3">
      <c r="A53" s="37" t="s">
        <v>243</v>
      </c>
      <c r="B53" s="44" t="s">
        <v>147</v>
      </c>
      <c r="C53" s="44">
        <v>13</v>
      </c>
      <c r="D53" s="44" t="s">
        <v>244</v>
      </c>
      <c r="E53" s="60">
        <f t="shared" si="7"/>
        <v>0.9427287640364086</v>
      </c>
      <c r="F53" s="355"/>
      <c r="Q53" s="93" t="s">
        <v>287</v>
      </c>
      <c r="R53" s="94">
        <v>0.97501693766937669</v>
      </c>
      <c r="S53" s="93" t="s">
        <v>208</v>
      </c>
      <c r="W53" s="37" t="s">
        <v>357</v>
      </c>
      <c r="X53" s="44" t="s">
        <v>145</v>
      </c>
      <c r="Y53" s="44">
        <v>15</v>
      </c>
      <c r="Z53" s="44" t="s">
        <v>358</v>
      </c>
      <c r="AA53" s="60">
        <v>0.77327600463039525</v>
      </c>
    </row>
    <row r="54" spans="1:27" ht="13.8" x14ac:dyDescent="0.3">
      <c r="A54" s="37" t="s">
        <v>250</v>
      </c>
      <c r="B54" s="44" t="s">
        <v>147</v>
      </c>
      <c r="C54" s="44">
        <v>13</v>
      </c>
      <c r="D54" s="44" t="s">
        <v>251</v>
      </c>
      <c r="E54" s="60">
        <f t="shared" si="7"/>
        <v>0.70643925978729205</v>
      </c>
      <c r="F54" s="355"/>
      <c r="Q54" s="93" t="s">
        <v>393</v>
      </c>
      <c r="R54" s="94">
        <v>0.64890043729006908</v>
      </c>
      <c r="S54" s="93" t="s">
        <v>209</v>
      </c>
      <c r="W54" s="37" t="s">
        <v>282</v>
      </c>
      <c r="X54" s="44" t="s">
        <v>145</v>
      </c>
      <c r="Y54" s="44">
        <v>15</v>
      </c>
      <c r="Z54" s="44" t="s">
        <v>283</v>
      </c>
      <c r="AA54" s="60">
        <v>0.75386351438754873</v>
      </c>
    </row>
    <row r="55" spans="1:27" ht="13.8" x14ac:dyDescent="0.3">
      <c r="A55" s="37" t="s">
        <v>261</v>
      </c>
      <c r="B55" s="44" t="s">
        <v>147</v>
      </c>
      <c r="C55" s="44">
        <v>13</v>
      </c>
      <c r="D55" s="44" t="s">
        <v>262</v>
      </c>
      <c r="E55" s="60">
        <f t="shared" si="7"/>
        <v>0.90135028841111697</v>
      </c>
      <c r="F55" s="355"/>
      <c r="Q55" s="93" t="s">
        <v>291</v>
      </c>
      <c r="R55" s="94">
        <v>1</v>
      </c>
      <c r="S55" s="93" t="s">
        <v>208</v>
      </c>
      <c r="W55" s="45" t="s">
        <v>268</v>
      </c>
      <c r="X55" s="46" t="s">
        <v>144</v>
      </c>
      <c r="Y55" s="46">
        <v>16</v>
      </c>
      <c r="Z55" s="46" t="s">
        <v>269</v>
      </c>
      <c r="AA55" s="61">
        <v>0.7497019635343618</v>
      </c>
    </row>
    <row r="56" spans="1:27" ht="13.8" x14ac:dyDescent="0.3">
      <c r="A56" s="37" t="s">
        <v>473</v>
      </c>
      <c r="B56" s="44" t="s">
        <v>147</v>
      </c>
      <c r="C56" s="44">
        <v>13</v>
      </c>
      <c r="D56" s="44" t="s">
        <v>462</v>
      </c>
      <c r="E56" s="69">
        <f t="shared" si="7"/>
        <v>0.27216238256230779</v>
      </c>
      <c r="F56" s="355"/>
      <c r="Q56" s="93" t="s">
        <v>249</v>
      </c>
      <c r="R56" s="94">
        <v>0.42404692082111439</v>
      </c>
      <c r="S56" s="93" t="s">
        <v>199</v>
      </c>
      <c r="W56" s="37" t="s">
        <v>418</v>
      </c>
      <c r="X56" s="44" t="s">
        <v>145</v>
      </c>
      <c r="Y56" s="44">
        <v>15</v>
      </c>
      <c r="Z56" s="44" t="s">
        <v>461</v>
      </c>
      <c r="AA56" s="60">
        <v>0.7469877361024081</v>
      </c>
    </row>
    <row r="57" spans="1:27" ht="13.8" x14ac:dyDescent="0.3">
      <c r="A57" s="37" t="s">
        <v>459</v>
      </c>
      <c r="B57" s="44" t="s">
        <v>147</v>
      </c>
      <c r="C57" s="44">
        <v>13</v>
      </c>
      <c r="D57" s="44" t="s">
        <v>460</v>
      </c>
      <c r="E57" s="60" t="s">
        <v>433</v>
      </c>
      <c r="F57" s="355"/>
      <c r="Q57" s="93" t="s">
        <v>466</v>
      </c>
      <c r="R57" s="94">
        <v>0.99417211067658851</v>
      </c>
      <c r="S57" s="93" t="s">
        <v>208</v>
      </c>
      <c r="W57" s="45" t="s">
        <v>254</v>
      </c>
      <c r="X57" s="46" t="s">
        <v>146</v>
      </c>
      <c r="Y57" s="46">
        <v>14</v>
      </c>
      <c r="Z57" s="46" t="s">
        <v>255</v>
      </c>
      <c r="AA57" s="61">
        <v>0.72270267536539723</v>
      </c>
    </row>
    <row r="58" spans="1:27" ht="13.8" x14ac:dyDescent="0.3">
      <c r="A58" s="37" t="s">
        <v>270</v>
      </c>
      <c r="B58" s="44" t="s">
        <v>147</v>
      </c>
      <c r="C58" s="44">
        <v>13</v>
      </c>
      <c r="D58" s="44" t="s">
        <v>271</v>
      </c>
      <c r="E58" s="60">
        <f t="shared" ref="E58:E74" si="8">VLOOKUP($D58,$Q$7:$R$69,2,0)</f>
        <v>0.78356336260978665</v>
      </c>
      <c r="F58" s="355"/>
      <c r="Q58" s="93" t="s">
        <v>358</v>
      </c>
      <c r="R58" s="94">
        <v>0.77327600463039525</v>
      </c>
      <c r="S58" s="93" t="s">
        <v>209</v>
      </c>
      <c r="W58" s="37" t="s">
        <v>250</v>
      </c>
      <c r="X58" s="44" t="s">
        <v>147</v>
      </c>
      <c r="Y58" s="44">
        <v>13</v>
      </c>
      <c r="Z58" s="44" t="s">
        <v>251</v>
      </c>
      <c r="AA58" s="60">
        <v>0.70643925978729205</v>
      </c>
    </row>
    <row r="59" spans="1:27" ht="13.8" x14ac:dyDescent="0.3">
      <c r="A59" s="37" t="s">
        <v>377</v>
      </c>
      <c r="B59" s="44" t="s">
        <v>147</v>
      </c>
      <c r="C59" s="44">
        <v>13</v>
      </c>
      <c r="D59" s="44" t="s">
        <v>378</v>
      </c>
      <c r="E59" s="60">
        <f t="shared" si="8"/>
        <v>1.0293089747728885</v>
      </c>
      <c r="F59" s="355"/>
      <c r="Q59" s="93" t="s">
        <v>299</v>
      </c>
      <c r="R59" s="94">
        <v>0.93000422702993502</v>
      </c>
      <c r="S59" s="93" t="s">
        <v>208</v>
      </c>
      <c r="W59" s="37" t="s">
        <v>280</v>
      </c>
      <c r="X59" s="44" t="s">
        <v>147</v>
      </c>
      <c r="Y59" s="44">
        <v>13</v>
      </c>
      <c r="Z59" s="44" t="s">
        <v>281</v>
      </c>
      <c r="AA59" s="60">
        <v>0.66983442164179108</v>
      </c>
    </row>
    <row r="60" spans="1:27" ht="13.8" x14ac:dyDescent="0.3">
      <c r="A60" s="37" t="s">
        <v>280</v>
      </c>
      <c r="B60" s="44" t="s">
        <v>147</v>
      </c>
      <c r="C60" s="44">
        <v>13</v>
      </c>
      <c r="D60" s="44" t="s">
        <v>281</v>
      </c>
      <c r="E60" s="60">
        <f t="shared" si="8"/>
        <v>0.66983442164179108</v>
      </c>
      <c r="F60" s="355"/>
      <c r="Q60" s="93" t="s">
        <v>297</v>
      </c>
      <c r="R60" s="94">
        <v>0.614337822671156</v>
      </c>
      <c r="S60" s="93" t="s">
        <v>209</v>
      </c>
      <c r="W60" s="37" t="s">
        <v>405</v>
      </c>
      <c r="X60" s="44" t="s">
        <v>145</v>
      </c>
      <c r="Y60" s="44">
        <v>15</v>
      </c>
      <c r="Z60" s="44" t="s">
        <v>406</v>
      </c>
      <c r="AA60" s="60">
        <v>0.66731657086909912</v>
      </c>
    </row>
    <row r="61" spans="1:27" ht="13.8" x14ac:dyDescent="0.3">
      <c r="A61" s="37" t="s">
        <v>284</v>
      </c>
      <c r="B61" s="44" t="s">
        <v>147</v>
      </c>
      <c r="C61" s="44">
        <v>13</v>
      </c>
      <c r="D61" s="44" t="s">
        <v>285</v>
      </c>
      <c r="E61" s="69">
        <f>VLOOKUP($D61,$Q$7:$R$69,2,0)</f>
        <v>0.44575810739314115</v>
      </c>
      <c r="F61" s="355"/>
      <c r="Q61" s="93" t="s">
        <v>385</v>
      </c>
      <c r="R61" s="94">
        <v>0.90975829351063098</v>
      </c>
      <c r="S61" s="93" t="s">
        <v>208</v>
      </c>
      <c r="W61" s="37" t="s">
        <v>392</v>
      </c>
      <c r="X61" s="44" t="s">
        <v>145</v>
      </c>
      <c r="Y61" s="44">
        <v>15</v>
      </c>
      <c r="Z61" s="44" t="s">
        <v>393</v>
      </c>
      <c r="AA61" s="69">
        <v>0.64890043729006908</v>
      </c>
    </row>
    <row r="62" spans="1:27" ht="13.8" x14ac:dyDescent="0.3">
      <c r="A62" s="37" t="s">
        <v>292</v>
      </c>
      <c r="B62" s="44" t="s">
        <v>147</v>
      </c>
      <c r="C62" s="44">
        <v>13</v>
      </c>
      <c r="D62" s="44" t="s">
        <v>451</v>
      </c>
      <c r="E62" s="60">
        <f t="shared" si="8"/>
        <v>1</v>
      </c>
      <c r="F62" s="355"/>
      <c r="Q62" s="93" t="s">
        <v>406</v>
      </c>
      <c r="R62" s="94">
        <v>0.66731657086909912</v>
      </c>
      <c r="S62" s="93" t="s">
        <v>209</v>
      </c>
      <c r="W62" s="37" t="s">
        <v>304</v>
      </c>
      <c r="X62" s="44" t="s">
        <v>147</v>
      </c>
      <c r="Y62" s="44">
        <v>13</v>
      </c>
      <c r="Z62" s="44" t="s">
        <v>305</v>
      </c>
      <c r="AA62" s="60">
        <v>0.63819230650865855</v>
      </c>
    </row>
    <row r="63" spans="1:27" ht="13.8" x14ac:dyDescent="0.3">
      <c r="A63" s="37" t="s">
        <v>278</v>
      </c>
      <c r="B63" s="44" t="s">
        <v>147</v>
      </c>
      <c r="C63" s="44">
        <v>13</v>
      </c>
      <c r="D63" s="44" t="s">
        <v>279</v>
      </c>
      <c r="E63" s="60">
        <f t="shared" si="8"/>
        <v>0.58034319753835939</v>
      </c>
      <c r="F63" s="355"/>
      <c r="Q63" s="93" t="s">
        <v>400</v>
      </c>
      <c r="R63" s="94">
        <v>0.9915841495030967</v>
      </c>
      <c r="S63" s="93" t="s">
        <v>208</v>
      </c>
      <c r="W63" s="37" t="s">
        <v>475</v>
      </c>
      <c r="X63" s="44" t="s">
        <v>147</v>
      </c>
      <c r="Y63" s="44">
        <v>13</v>
      </c>
      <c r="Z63" s="44" t="s">
        <v>458</v>
      </c>
      <c r="AA63" s="60">
        <v>0.62875460562079877</v>
      </c>
    </row>
    <row r="64" spans="1:27" ht="13.8" x14ac:dyDescent="0.3">
      <c r="A64" s="37" t="s">
        <v>304</v>
      </c>
      <c r="B64" s="44" t="s">
        <v>147</v>
      </c>
      <c r="C64" s="44">
        <v>13</v>
      </c>
      <c r="D64" s="44" t="s">
        <v>305</v>
      </c>
      <c r="E64" s="60">
        <f t="shared" si="8"/>
        <v>0.63819230650865855</v>
      </c>
      <c r="F64" s="355"/>
      <c r="Q64" s="93" t="s">
        <v>469</v>
      </c>
      <c r="R64" s="94">
        <v>0.97028603165787286</v>
      </c>
      <c r="S64" s="93" t="s">
        <v>208</v>
      </c>
      <c r="W64" s="37" t="s">
        <v>296</v>
      </c>
      <c r="X64" s="44" t="s">
        <v>145</v>
      </c>
      <c r="Y64" s="44">
        <v>15</v>
      </c>
      <c r="Z64" s="44" t="s">
        <v>297</v>
      </c>
      <c r="AA64" s="60">
        <v>0.614337822671156</v>
      </c>
    </row>
    <row r="65" spans="1:27" ht="13.8" x14ac:dyDescent="0.3">
      <c r="A65" s="37" t="s">
        <v>286</v>
      </c>
      <c r="B65" s="44" t="s">
        <v>147</v>
      </c>
      <c r="C65" s="44">
        <v>13</v>
      </c>
      <c r="D65" s="44" t="s">
        <v>287</v>
      </c>
      <c r="E65" s="60">
        <f t="shared" si="8"/>
        <v>0.97501693766937669</v>
      </c>
      <c r="F65" s="355"/>
      <c r="Q65" s="93" t="s">
        <v>301</v>
      </c>
      <c r="R65" s="94">
        <v>0.98634859349145065</v>
      </c>
      <c r="S65" s="93" t="s">
        <v>208</v>
      </c>
      <c r="W65" s="45" t="s">
        <v>274</v>
      </c>
      <c r="X65" s="46" t="s">
        <v>146</v>
      </c>
      <c r="Y65" s="46">
        <v>14</v>
      </c>
      <c r="Z65" s="46" t="s">
        <v>275</v>
      </c>
      <c r="AA65" s="61">
        <v>0.60422936152907691</v>
      </c>
    </row>
    <row r="66" spans="1:27" ht="13.8" x14ac:dyDescent="0.3">
      <c r="A66" s="45" t="s">
        <v>310</v>
      </c>
      <c r="B66" s="46" t="s">
        <v>178</v>
      </c>
      <c r="C66" s="46">
        <v>12</v>
      </c>
      <c r="D66" s="46" t="s">
        <v>466</v>
      </c>
      <c r="E66" s="61">
        <f t="shared" si="8"/>
        <v>0.99417211067658851</v>
      </c>
      <c r="F66" s="355"/>
      <c r="Q66" s="93" t="s">
        <v>356</v>
      </c>
      <c r="R66" s="94">
        <v>0.96644084643352246</v>
      </c>
      <c r="S66" s="93" t="s">
        <v>208</v>
      </c>
      <c r="W66" s="45" t="s">
        <v>371</v>
      </c>
      <c r="X66" s="46" t="s">
        <v>144</v>
      </c>
      <c r="Y66" s="46">
        <v>16</v>
      </c>
      <c r="Z66" s="46" t="s">
        <v>199</v>
      </c>
      <c r="AA66" s="61">
        <v>0.58142655748172922</v>
      </c>
    </row>
    <row r="67" spans="1:27" ht="13.8" x14ac:dyDescent="0.3">
      <c r="A67" s="37" t="s">
        <v>421</v>
      </c>
      <c r="B67" s="44" t="s">
        <v>180</v>
      </c>
      <c r="C67" s="44">
        <v>11</v>
      </c>
      <c r="D67" s="44" t="s">
        <v>422</v>
      </c>
      <c r="E67" s="60">
        <f t="shared" si="8"/>
        <v>0.99872589064335693</v>
      </c>
      <c r="F67" s="355"/>
      <c r="Q67" s="93" t="s">
        <v>253</v>
      </c>
      <c r="R67" s="94">
        <v>0.84932154135723226</v>
      </c>
      <c r="S67" s="93" t="s">
        <v>208</v>
      </c>
      <c r="W67" s="37" t="s">
        <v>278</v>
      </c>
      <c r="X67" s="44" t="s">
        <v>147</v>
      </c>
      <c r="Y67" s="44">
        <v>13</v>
      </c>
      <c r="Z67" s="44" t="s">
        <v>279</v>
      </c>
      <c r="AA67" s="60">
        <v>0.58034319753835939</v>
      </c>
    </row>
    <row r="68" spans="1:27" ht="13.8" x14ac:dyDescent="0.3">
      <c r="A68" s="45" t="s">
        <v>308</v>
      </c>
      <c r="B68" s="46" t="s">
        <v>182</v>
      </c>
      <c r="C68" s="46">
        <v>10</v>
      </c>
      <c r="D68" s="46" t="s">
        <v>309</v>
      </c>
      <c r="E68" s="61">
        <f t="shared" si="8"/>
        <v>0.89259170051200387</v>
      </c>
      <c r="F68" s="355"/>
      <c r="G68" s="122"/>
      <c r="Q68" s="93" t="s">
        <v>365</v>
      </c>
      <c r="R68" s="94">
        <v>1</v>
      </c>
      <c r="S68" s="93" t="s">
        <v>208</v>
      </c>
      <c r="W68" s="45" t="s">
        <v>294</v>
      </c>
      <c r="X68" s="46" t="s">
        <v>146</v>
      </c>
      <c r="Y68" s="46">
        <v>14</v>
      </c>
      <c r="Z68" s="46" t="s">
        <v>295</v>
      </c>
      <c r="AA68" s="61">
        <v>0.57546119039331711</v>
      </c>
    </row>
    <row r="69" spans="1:27" ht="14.4" thickBot="1" x14ac:dyDescent="0.35">
      <c r="A69" s="98" t="s">
        <v>381</v>
      </c>
      <c r="B69" s="99" t="s">
        <v>190</v>
      </c>
      <c r="C69" s="99">
        <v>6</v>
      </c>
      <c r="D69" s="99" t="s">
        <v>467</v>
      </c>
      <c r="E69" s="100">
        <f t="shared" si="8"/>
        <v>0.27230062686467099</v>
      </c>
      <c r="F69" s="355"/>
      <c r="Q69" s="93" t="s">
        <v>257</v>
      </c>
      <c r="R69" s="94">
        <v>0.94699999999999995</v>
      </c>
      <c r="S69" s="93" t="s">
        <v>208</v>
      </c>
      <c r="W69" s="105" t="s">
        <v>245</v>
      </c>
      <c r="X69" s="107" t="s">
        <v>144</v>
      </c>
      <c r="Y69" s="107">
        <v>16</v>
      </c>
      <c r="Z69" s="107" t="s">
        <v>246</v>
      </c>
      <c r="AA69" s="109">
        <v>0.55330389203021169</v>
      </c>
    </row>
    <row r="70" spans="1:27" ht="13.8" x14ac:dyDescent="0.3">
      <c r="A70" s="37" t="s">
        <v>474</v>
      </c>
      <c r="B70" s="44" t="s">
        <v>167</v>
      </c>
      <c r="C70" s="44">
        <v>19</v>
      </c>
      <c r="D70" s="44" t="s">
        <v>471</v>
      </c>
      <c r="E70" s="60">
        <f t="shared" si="8"/>
        <v>0.77794419936265724</v>
      </c>
      <c r="F70" s="355"/>
      <c r="G70" s="122"/>
      <c r="Q70" s="49"/>
      <c r="R70" s="58"/>
      <c r="S70" s="49"/>
      <c r="W70" s="37" t="s">
        <v>284</v>
      </c>
      <c r="X70" s="44" t="s">
        <v>147</v>
      </c>
      <c r="Y70" s="44">
        <v>13</v>
      </c>
      <c r="Z70" s="44" t="s">
        <v>285</v>
      </c>
      <c r="AA70" s="69">
        <v>0.44575810739314115</v>
      </c>
    </row>
    <row r="71" spans="1:27" ht="13.8" x14ac:dyDescent="0.3">
      <c r="A71" s="37" t="s">
        <v>472</v>
      </c>
      <c r="B71" s="44" t="s">
        <v>171</v>
      </c>
      <c r="C71" s="44">
        <v>17</v>
      </c>
      <c r="D71" s="44" t="s">
        <v>463</v>
      </c>
      <c r="E71" s="60">
        <f t="shared" si="8"/>
        <v>0.87497195036407094</v>
      </c>
      <c r="F71" s="355"/>
      <c r="Q71" s="49"/>
      <c r="R71" s="58"/>
      <c r="S71" s="49"/>
      <c r="W71" s="37" t="s">
        <v>248</v>
      </c>
      <c r="X71" s="44" t="s">
        <v>145</v>
      </c>
      <c r="Y71" s="44">
        <v>15</v>
      </c>
      <c r="Z71" s="44" t="s">
        <v>249</v>
      </c>
      <c r="AA71" s="69">
        <v>0.42404692082111439</v>
      </c>
    </row>
    <row r="72" spans="1:27" ht="13.8" x14ac:dyDescent="0.3">
      <c r="A72" s="37" t="s">
        <v>468</v>
      </c>
      <c r="B72" s="44" t="s">
        <v>178</v>
      </c>
      <c r="C72" s="44">
        <v>12</v>
      </c>
      <c r="D72" s="44" t="s">
        <v>469</v>
      </c>
      <c r="E72" s="69">
        <f t="shared" si="8"/>
        <v>0.97028603165787286</v>
      </c>
      <c r="F72" s="355"/>
      <c r="Q72" s="49"/>
      <c r="R72" s="58"/>
      <c r="S72" s="49"/>
      <c r="W72" s="37" t="s">
        <v>276</v>
      </c>
      <c r="X72" s="44" t="s">
        <v>145</v>
      </c>
      <c r="Y72" s="44">
        <v>15</v>
      </c>
      <c r="Z72" s="44" t="s">
        <v>277</v>
      </c>
      <c r="AA72" s="60">
        <v>0.36017814864816144</v>
      </c>
    </row>
    <row r="73" spans="1:27" ht="13.8" x14ac:dyDescent="0.3">
      <c r="A73" s="37" t="s">
        <v>434</v>
      </c>
      <c r="B73" s="47" t="s">
        <v>433</v>
      </c>
      <c r="C73" s="47"/>
      <c r="D73" s="44" t="s">
        <v>435</v>
      </c>
      <c r="E73" s="69">
        <f t="shared" si="8"/>
        <v>0.99675869094774683</v>
      </c>
      <c r="F73" s="5"/>
      <c r="Q73" s="49"/>
      <c r="R73" s="58"/>
      <c r="S73" s="49"/>
      <c r="W73" s="106" t="s">
        <v>381</v>
      </c>
      <c r="X73" s="108" t="s">
        <v>190</v>
      </c>
      <c r="Y73" s="108">
        <v>6</v>
      </c>
      <c r="Z73" s="108" t="s">
        <v>467</v>
      </c>
      <c r="AA73" s="110">
        <v>0.27230062686467099</v>
      </c>
    </row>
    <row r="74" spans="1:27" ht="14.4" thickBot="1" x14ac:dyDescent="0.35">
      <c r="A74" s="53" t="s">
        <v>300</v>
      </c>
      <c r="B74" s="54" t="s">
        <v>433</v>
      </c>
      <c r="C74" s="54"/>
      <c r="D74" s="54" t="s">
        <v>301</v>
      </c>
      <c r="E74" s="63">
        <f t="shared" si="8"/>
        <v>0.98634859349145065</v>
      </c>
      <c r="F74" s="5"/>
      <c r="Q74" s="49"/>
      <c r="R74" s="58"/>
      <c r="S74" s="49"/>
      <c r="W74" s="53" t="s">
        <v>473</v>
      </c>
      <c r="X74" s="57" t="s">
        <v>147</v>
      </c>
      <c r="Y74" s="57">
        <v>13</v>
      </c>
      <c r="Z74" s="57" t="s">
        <v>462</v>
      </c>
      <c r="AA74" s="111">
        <v>0.27216238256230779</v>
      </c>
    </row>
    <row r="75" spans="1:27" ht="13.8" x14ac:dyDescent="0.3">
      <c r="A75" s="41" t="s">
        <v>316</v>
      </c>
      <c r="B75" s="43" t="s">
        <v>146</v>
      </c>
      <c r="C75" s="42">
        <f>AVERAGE(C7:C69)</f>
        <v>14.174603174603174</v>
      </c>
      <c r="D75" s="42"/>
      <c r="E75" s="42"/>
      <c r="F75" s="5"/>
      <c r="Q75" s="49"/>
      <c r="R75" s="58"/>
      <c r="S75" s="49"/>
    </row>
    <row r="76" spans="1:27" ht="13.8" x14ac:dyDescent="0.3">
      <c r="A76" s="3"/>
      <c r="B76" s="3"/>
      <c r="F76" s="5"/>
      <c r="Q76" s="49"/>
      <c r="R76" s="59"/>
      <c r="S76" s="49"/>
    </row>
    <row r="77" spans="1:27" x14ac:dyDescent="0.25">
      <c r="A77" s="3"/>
      <c r="B77" s="3"/>
      <c r="F77" s="9"/>
    </row>
    <row r="78" spans="1:27" x14ac:dyDescent="0.25">
      <c r="A78" s="48" t="s">
        <v>317</v>
      </c>
      <c r="F78" s="9"/>
    </row>
    <row r="79" spans="1:27" x14ac:dyDescent="0.25">
      <c r="A79" s="48" t="s">
        <v>318</v>
      </c>
      <c r="B79" s="86"/>
      <c r="C79" s="86"/>
      <c r="D79" s="86"/>
      <c r="E79" s="86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A80" s="85" t="s">
        <v>429</v>
      </c>
      <c r="F80" s="87"/>
      <c r="AA80" s="88"/>
    </row>
    <row r="81" spans="1:27" s="86" customFormat="1" x14ac:dyDescent="0.25">
      <c r="A81" s="85" t="s">
        <v>319</v>
      </c>
      <c r="F81" s="87"/>
      <c r="AA81" s="88"/>
    </row>
    <row r="82" spans="1:27" s="86" customFormat="1" x14ac:dyDescent="0.25">
      <c r="A82" s="85" t="s">
        <v>476</v>
      </c>
      <c r="B82"/>
      <c r="C82"/>
      <c r="D82" s="9"/>
      <c r="E82"/>
      <c r="F82" s="87"/>
      <c r="G82"/>
      <c r="W82"/>
      <c r="X82"/>
      <c r="Y82"/>
      <c r="Z82"/>
      <c r="AA82"/>
    </row>
    <row r="83" spans="1:27" x14ac:dyDescent="0.25">
      <c r="A83" s="48" t="s">
        <v>320</v>
      </c>
      <c r="D83" s="9"/>
      <c r="AA83"/>
    </row>
    <row r="84" spans="1:27" x14ac:dyDescent="0.25">
      <c r="A84" s="48"/>
      <c r="D84" s="9"/>
      <c r="AA84"/>
    </row>
    <row r="85" spans="1:27" x14ac:dyDescent="0.25">
      <c r="A85" s="48"/>
    </row>
    <row r="86" spans="1:27" x14ac:dyDescent="0.25">
      <c r="A86" s="2"/>
      <c r="E86" s="74"/>
      <c r="F86" s="9"/>
    </row>
    <row r="87" spans="1:27" x14ac:dyDescent="0.25">
      <c r="E87" s="74"/>
    </row>
    <row r="88" spans="1:27" x14ac:dyDescent="0.2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  <pageSetUpPr fitToPage="1"/>
  </sheetPr>
  <dimension ref="A1:AH89"/>
  <sheetViews>
    <sheetView zoomScale="80" zoomScaleNormal="80" workbookViewId="0">
      <selection activeCell="A7" sqref="A7"/>
    </sheetView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487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444</v>
      </c>
      <c r="AA5" s="65" t="s">
        <v>444</v>
      </c>
      <c r="AF5" s="82" t="s">
        <v>445</v>
      </c>
      <c r="AG5" s="81"/>
    </row>
    <row r="6" spans="1:33" ht="13.8" x14ac:dyDescent="0.3">
      <c r="A6" s="38" t="s">
        <v>217</v>
      </c>
      <c r="B6" s="39" t="s">
        <v>488</v>
      </c>
      <c r="C6" s="14"/>
      <c r="D6" s="14"/>
      <c r="E6" s="64">
        <v>40178</v>
      </c>
      <c r="W6" s="38" t="s">
        <v>217</v>
      </c>
      <c r="X6" s="39" t="s">
        <v>488</v>
      </c>
      <c r="Y6" s="14"/>
      <c r="Z6" s="14"/>
      <c r="AA6" s="64">
        <v>40178</v>
      </c>
      <c r="AC6" s="67" t="s">
        <v>141</v>
      </c>
      <c r="AD6" s="68"/>
      <c r="AE6" s="68"/>
      <c r="AF6" s="42">
        <f>AVERAGE(Y$13:Y$47)</f>
        <v>14.2</v>
      </c>
      <c r="AG6" s="79"/>
    </row>
    <row r="7" spans="1:33" ht="14.4" thickBot="1" x14ac:dyDescent="0.35">
      <c r="A7" s="37" t="s">
        <v>441</v>
      </c>
      <c r="B7" s="44" t="s">
        <v>169</v>
      </c>
      <c r="C7" s="44">
        <v>18</v>
      </c>
      <c r="D7" s="44" t="s">
        <v>442</v>
      </c>
      <c r="E7" s="60">
        <f>VLOOKUP($D7,$Q$7:$R$69,2,0)</f>
        <v>0.99706741779950658</v>
      </c>
      <c r="F7" s="355"/>
      <c r="G7" s="57" t="s">
        <v>215</v>
      </c>
      <c r="H7" s="57" t="s">
        <v>139</v>
      </c>
      <c r="I7" s="57" t="s">
        <v>140</v>
      </c>
      <c r="N7" s="122"/>
      <c r="O7" s="122"/>
      <c r="Q7" s="93" t="s">
        <v>231</v>
      </c>
      <c r="R7" s="94">
        <v>0.82576712904581762</v>
      </c>
      <c r="S7" s="93" t="s">
        <v>208</v>
      </c>
      <c r="W7" s="37" t="s">
        <v>447</v>
      </c>
      <c r="X7" s="44" t="s">
        <v>144</v>
      </c>
      <c r="Y7" s="44">
        <v>16</v>
      </c>
      <c r="Z7" s="44" t="s">
        <v>448</v>
      </c>
      <c r="AA7" s="70" t="s">
        <v>433</v>
      </c>
      <c r="AC7" s="57" t="s">
        <v>215</v>
      </c>
      <c r="AD7" s="57" t="s">
        <v>139</v>
      </c>
      <c r="AE7" s="57" t="s">
        <v>140</v>
      </c>
      <c r="AG7" s="80"/>
    </row>
    <row r="8" spans="1:33" ht="13.8" x14ac:dyDescent="0.3">
      <c r="A8" s="37" t="s">
        <v>489</v>
      </c>
      <c r="B8" s="44" t="s">
        <v>171</v>
      </c>
      <c r="C8" s="44">
        <v>17</v>
      </c>
      <c r="D8" s="44" t="s">
        <v>246</v>
      </c>
      <c r="E8" s="60">
        <f>VLOOKUP($D8,$Q$7:$R$69,2,0)</f>
        <v>0.55330389203021169</v>
      </c>
      <c r="F8" s="355"/>
      <c r="G8" s="37" t="s">
        <v>142</v>
      </c>
      <c r="H8" s="49">
        <f>COUNTIF(C$7:C$75,"&gt;16")</f>
        <v>5</v>
      </c>
      <c r="I8" s="50">
        <f>H8/H$14</f>
        <v>7.575757575757576E-2</v>
      </c>
      <c r="K8" s="122"/>
      <c r="M8" s="122"/>
      <c r="N8" s="122"/>
      <c r="O8" s="122"/>
      <c r="Q8" s="93" t="s">
        <v>228</v>
      </c>
      <c r="R8" s="94">
        <v>0.97067096880946468</v>
      </c>
      <c r="S8" s="93" t="s">
        <v>208</v>
      </c>
      <c r="W8" s="37" t="s">
        <v>449</v>
      </c>
      <c r="X8" s="44" t="s">
        <v>144</v>
      </c>
      <c r="Y8" s="44">
        <v>16</v>
      </c>
      <c r="Z8" s="44" t="s">
        <v>450</v>
      </c>
      <c r="AA8" s="70" t="s">
        <v>433</v>
      </c>
      <c r="AC8" s="37" t="s">
        <v>142</v>
      </c>
      <c r="AD8" s="49">
        <f>COUNTIF(Y$13:Y$47,"&gt;16")</f>
        <v>3</v>
      </c>
      <c r="AE8" s="50">
        <f>AD8/AD$14</f>
        <v>8.5714285714285715E-2</v>
      </c>
      <c r="AG8" s="80"/>
    </row>
    <row r="9" spans="1:33" ht="13.8" x14ac:dyDescent="0.3">
      <c r="A9" s="37" t="s">
        <v>298</v>
      </c>
      <c r="B9" s="44" t="s">
        <v>171</v>
      </c>
      <c r="C9" s="44">
        <v>17</v>
      </c>
      <c r="D9" s="44" t="s">
        <v>299</v>
      </c>
      <c r="E9" s="60">
        <f t="shared" ref="E9:E68" si="0">VLOOKUP($D9,$Q$7:$R$75,2,0)</f>
        <v>0.93000422702993502</v>
      </c>
      <c r="F9" s="355"/>
      <c r="G9" s="37" t="s">
        <v>144</v>
      </c>
      <c r="H9" s="49">
        <f>COUNTIF(C$7:C$75,"=16")</f>
        <v>8</v>
      </c>
      <c r="I9" s="50">
        <f t="shared" ref="I9:I14" si="1">H9/H$14</f>
        <v>0.12121212121212122</v>
      </c>
      <c r="K9" s="122"/>
      <c r="M9" s="122"/>
      <c r="N9" s="122"/>
      <c r="O9" s="122"/>
      <c r="Q9" s="93" t="s">
        <v>451</v>
      </c>
      <c r="R9" s="94">
        <v>1</v>
      </c>
      <c r="S9" s="93" t="s">
        <v>208</v>
      </c>
      <c r="W9" s="37" t="s">
        <v>452</v>
      </c>
      <c r="X9" s="44" t="s">
        <v>145</v>
      </c>
      <c r="Y9" s="44">
        <v>15</v>
      </c>
      <c r="Z9" s="44" t="s">
        <v>453</v>
      </c>
      <c r="AA9" s="70" t="s">
        <v>433</v>
      </c>
      <c r="AC9" s="37" t="s">
        <v>144</v>
      </c>
      <c r="AD9" s="49">
        <f>COUNTIF(Y$13:Y$47,"=16")</f>
        <v>4</v>
      </c>
      <c r="AE9" s="50">
        <f t="shared" ref="AE9:AE14" si="2">AD9/AD$14</f>
        <v>0.11428571428571428</v>
      </c>
      <c r="AG9" s="80"/>
    </row>
    <row r="10" spans="1:33" ht="13.8" x14ac:dyDescent="0.3">
      <c r="A10" s="45" t="s">
        <v>232</v>
      </c>
      <c r="B10" s="46" t="s">
        <v>144</v>
      </c>
      <c r="C10" s="46">
        <v>16</v>
      </c>
      <c r="D10" s="46" t="s">
        <v>233</v>
      </c>
      <c r="E10" s="61">
        <f t="shared" si="0"/>
        <v>0.89410444897115693</v>
      </c>
      <c r="F10" s="355"/>
      <c r="G10" s="37" t="s">
        <v>145</v>
      </c>
      <c r="H10" s="49">
        <f>COUNTIF(C$7:C$75,"=15")</f>
        <v>15</v>
      </c>
      <c r="I10" s="50">
        <f t="shared" si="1"/>
        <v>0.22727272727272727</v>
      </c>
      <c r="K10" s="122"/>
      <c r="M10" s="122"/>
      <c r="N10" s="122"/>
      <c r="O10" s="122"/>
      <c r="Q10" s="93" t="s">
        <v>223</v>
      </c>
      <c r="R10" s="94">
        <v>0.91262379340604238</v>
      </c>
      <c r="S10" s="93" t="s">
        <v>208</v>
      </c>
      <c r="W10" s="37" t="s">
        <v>454</v>
      </c>
      <c r="X10" s="44" t="s">
        <v>145</v>
      </c>
      <c r="Y10" s="44">
        <v>15</v>
      </c>
      <c r="Z10" s="44" t="s">
        <v>455</v>
      </c>
      <c r="AA10" s="70" t="s">
        <v>433</v>
      </c>
      <c r="AC10" s="37" t="s">
        <v>145</v>
      </c>
      <c r="AD10" s="49">
        <f>COUNTIF(Y$13:Y$47,"=15")</f>
        <v>7</v>
      </c>
      <c r="AE10" s="50">
        <f t="shared" si="2"/>
        <v>0.2</v>
      </c>
      <c r="AG10" s="80"/>
    </row>
    <row r="11" spans="1:33" ht="13.8" x14ac:dyDescent="0.3">
      <c r="A11" s="45" t="s">
        <v>371</v>
      </c>
      <c r="B11" s="46" t="s">
        <v>144</v>
      </c>
      <c r="C11" s="46">
        <v>16</v>
      </c>
      <c r="D11" s="46" t="s">
        <v>199</v>
      </c>
      <c r="E11" s="61">
        <f t="shared" si="0"/>
        <v>0.58142655748172922</v>
      </c>
      <c r="F11" s="355"/>
      <c r="G11" s="37" t="s">
        <v>146</v>
      </c>
      <c r="H11" s="49">
        <f>COUNTIF(C$7:C$75,"=14")</f>
        <v>19</v>
      </c>
      <c r="I11" s="50">
        <f t="shared" si="1"/>
        <v>0.2878787878787879</v>
      </c>
      <c r="K11" s="122"/>
      <c r="M11" s="122"/>
      <c r="N11" s="122"/>
      <c r="O11" s="122"/>
      <c r="Q11" s="93" t="s">
        <v>244</v>
      </c>
      <c r="R11" s="94">
        <v>0.9427287640364086</v>
      </c>
      <c r="S11" s="93" t="s">
        <v>208</v>
      </c>
      <c r="W11" s="37" t="s">
        <v>456</v>
      </c>
      <c r="X11" s="44" t="s">
        <v>146</v>
      </c>
      <c r="Y11" s="44">
        <v>14</v>
      </c>
      <c r="Z11" s="44" t="s">
        <v>457</v>
      </c>
      <c r="AA11" s="70" t="s">
        <v>433</v>
      </c>
      <c r="AC11" s="37" t="s">
        <v>146</v>
      </c>
      <c r="AD11" s="49">
        <f>COUNTIF(Y$13:Y$47,"=14")</f>
        <v>10</v>
      </c>
      <c r="AE11" s="50">
        <f t="shared" si="2"/>
        <v>0.2857142857142857</v>
      </c>
      <c r="AG11" s="80"/>
    </row>
    <row r="12" spans="1:33" ht="13.8" x14ac:dyDescent="0.3">
      <c r="A12" s="45" t="s">
        <v>264</v>
      </c>
      <c r="B12" s="46" t="s">
        <v>144</v>
      </c>
      <c r="C12" s="46">
        <v>16</v>
      </c>
      <c r="D12" s="46" t="s">
        <v>464</v>
      </c>
      <c r="E12" s="61">
        <f t="shared" si="0"/>
        <v>1</v>
      </c>
      <c r="F12" s="355"/>
      <c r="G12" s="37" t="s">
        <v>147</v>
      </c>
      <c r="H12" s="49">
        <f>COUNTIF(C$7:C$75,"=13")</f>
        <v>14</v>
      </c>
      <c r="I12" s="50">
        <f t="shared" si="1"/>
        <v>0.21212121212121213</v>
      </c>
      <c r="Q12" s="93" t="s">
        <v>458</v>
      </c>
      <c r="R12" s="94">
        <v>0.62875460562079877</v>
      </c>
      <c r="S12" s="93" t="s">
        <v>209</v>
      </c>
      <c r="W12" s="37" t="s">
        <v>459</v>
      </c>
      <c r="X12" s="44" t="s">
        <v>147</v>
      </c>
      <c r="Y12" s="44">
        <v>13</v>
      </c>
      <c r="Z12" s="44" t="s">
        <v>460</v>
      </c>
      <c r="AA12" s="70" t="s">
        <v>433</v>
      </c>
      <c r="AC12" s="37" t="s">
        <v>147</v>
      </c>
      <c r="AD12" s="49">
        <f>COUNTIF(Y$13:Y$47,"=13")</f>
        <v>7</v>
      </c>
      <c r="AE12" s="50">
        <f t="shared" si="2"/>
        <v>0.2</v>
      </c>
      <c r="AG12" s="80"/>
    </row>
    <row r="13" spans="1:33" ht="14.4" thickBot="1" x14ac:dyDescent="0.35">
      <c r="A13" s="45" t="s">
        <v>268</v>
      </c>
      <c r="B13" s="46" t="s">
        <v>144</v>
      </c>
      <c r="C13" s="46">
        <v>16</v>
      </c>
      <c r="D13" s="46" t="s">
        <v>269</v>
      </c>
      <c r="E13" s="61">
        <f t="shared" si="0"/>
        <v>0.7497019635343618</v>
      </c>
      <c r="F13" s="355"/>
      <c r="G13" s="53" t="s">
        <v>148</v>
      </c>
      <c r="H13" s="55">
        <f>COUNTIF(C$7:C$75,"&lt;13")</f>
        <v>5</v>
      </c>
      <c r="I13" s="56">
        <f t="shared" si="1"/>
        <v>7.575757575757576E-2</v>
      </c>
      <c r="Q13" s="93" t="s">
        <v>251</v>
      </c>
      <c r="R13" s="94">
        <v>0.70643925978729205</v>
      </c>
      <c r="S13" s="93" t="s">
        <v>209</v>
      </c>
      <c r="W13" s="37" t="s">
        <v>362</v>
      </c>
      <c r="X13" s="44" t="s">
        <v>146</v>
      </c>
      <c r="Y13" s="44">
        <v>14</v>
      </c>
      <c r="Z13" s="44" t="s">
        <v>363</v>
      </c>
      <c r="AA13" s="70">
        <v>1.0333026830763428</v>
      </c>
      <c r="AC13" s="53" t="s">
        <v>148</v>
      </c>
      <c r="AD13" s="55">
        <f>COUNTIF(Y$13:Y$47,"&lt;13")</f>
        <v>4</v>
      </c>
      <c r="AE13" s="56">
        <f t="shared" si="2"/>
        <v>0.11428571428571428</v>
      </c>
      <c r="AG13" s="80"/>
    </row>
    <row r="14" spans="1:33" ht="13.8" x14ac:dyDescent="0.3">
      <c r="A14" s="45" t="s">
        <v>470</v>
      </c>
      <c r="B14" s="46" t="s">
        <v>144</v>
      </c>
      <c r="C14" s="46">
        <v>16</v>
      </c>
      <c r="D14" s="46" t="s">
        <v>465</v>
      </c>
      <c r="E14" s="61">
        <f t="shared" si="0"/>
        <v>0.96341849943457658</v>
      </c>
      <c r="F14" s="355"/>
      <c r="G14" s="41" t="s">
        <v>149</v>
      </c>
      <c r="H14" s="51">
        <f>SUM(H8:H13)</f>
        <v>66</v>
      </c>
      <c r="I14" s="52">
        <f t="shared" si="1"/>
        <v>1</v>
      </c>
      <c r="Q14" s="93" t="s">
        <v>461</v>
      </c>
      <c r="R14" s="94">
        <v>0.7469877361024081</v>
      </c>
      <c r="S14" s="93" t="s">
        <v>209</v>
      </c>
      <c r="W14" s="37" t="s">
        <v>377</v>
      </c>
      <c r="X14" s="44" t="s">
        <v>147</v>
      </c>
      <c r="Y14" s="44">
        <v>13</v>
      </c>
      <c r="Z14" s="44" t="s">
        <v>378</v>
      </c>
      <c r="AA14" s="70">
        <v>1.0293089747728885</v>
      </c>
      <c r="AC14" s="41" t="s">
        <v>149</v>
      </c>
      <c r="AD14" s="51">
        <f>SUM(AD8:AD13)</f>
        <v>35</v>
      </c>
      <c r="AE14" s="52">
        <f t="shared" si="2"/>
        <v>1</v>
      </c>
      <c r="AG14" s="80"/>
    </row>
    <row r="15" spans="1:33" ht="13.8" x14ac:dyDescent="0.3">
      <c r="A15" s="45" t="s">
        <v>447</v>
      </c>
      <c r="B15" s="46" t="s">
        <v>144</v>
      </c>
      <c r="C15" s="46">
        <v>16</v>
      </c>
      <c r="D15" s="46" t="s">
        <v>448</v>
      </c>
      <c r="E15" s="61" t="s">
        <v>433</v>
      </c>
      <c r="F15" s="355"/>
      <c r="K15" s="5"/>
      <c r="Q15" s="93" t="s">
        <v>462</v>
      </c>
      <c r="R15" s="94">
        <v>0.27216238256230779</v>
      </c>
      <c r="S15" s="93" t="s">
        <v>199</v>
      </c>
      <c r="W15" s="37" t="s">
        <v>264</v>
      </c>
      <c r="X15" s="44" t="s">
        <v>144</v>
      </c>
      <c r="Y15" s="44">
        <v>16</v>
      </c>
      <c r="Z15" s="44" t="s">
        <v>464</v>
      </c>
      <c r="AA15" s="70">
        <v>1</v>
      </c>
      <c r="AG15" s="80"/>
    </row>
    <row r="16" spans="1:33" ht="13.8" x14ac:dyDescent="0.3">
      <c r="A16" s="45" t="s">
        <v>449</v>
      </c>
      <c r="B16" s="46" t="s">
        <v>144</v>
      </c>
      <c r="C16" s="46">
        <v>16</v>
      </c>
      <c r="D16" s="46" t="s">
        <v>450</v>
      </c>
      <c r="E16" s="61" t="s">
        <v>433</v>
      </c>
      <c r="F16" s="355"/>
      <c r="K16" s="5"/>
      <c r="Q16" s="93" t="s">
        <v>463</v>
      </c>
      <c r="R16" s="94">
        <v>0.87497195036407094</v>
      </c>
      <c r="S16" s="93" t="s">
        <v>208</v>
      </c>
      <c r="W16" s="37" t="s">
        <v>290</v>
      </c>
      <c r="X16" s="44" t="s">
        <v>145</v>
      </c>
      <c r="Y16" s="44">
        <v>15</v>
      </c>
      <c r="Z16" s="44" t="s">
        <v>291</v>
      </c>
      <c r="AA16" s="70">
        <v>1</v>
      </c>
      <c r="AG16" s="80"/>
    </row>
    <row r="17" spans="1:33" ht="13.8" x14ac:dyDescent="0.3">
      <c r="A17" s="45" t="s">
        <v>355</v>
      </c>
      <c r="B17" s="46" t="s">
        <v>144</v>
      </c>
      <c r="C17" s="46">
        <v>16</v>
      </c>
      <c r="D17" s="46" t="s">
        <v>356</v>
      </c>
      <c r="E17" s="61">
        <f t="shared" si="0"/>
        <v>0.96644084643352246</v>
      </c>
      <c r="F17" s="355"/>
      <c r="K17" s="5"/>
      <c r="Q17" s="93" t="s">
        <v>262</v>
      </c>
      <c r="R17" s="94">
        <v>0.90135028841111697</v>
      </c>
      <c r="S17" s="93" t="s">
        <v>208</v>
      </c>
      <c r="W17" s="37" t="s">
        <v>338</v>
      </c>
      <c r="X17" s="44" t="s">
        <v>146</v>
      </c>
      <c r="Y17" s="44">
        <v>14</v>
      </c>
      <c r="Z17" s="44" t="s">
        <v>341</v>
      </c>
      <c r="AA17" s="70">
        <v>1</v>
      </c>
      <c r="AC17" s="67" t="s">
        <v>150</v>
      </c>
      <c r="AD17" s="68"/>
      <c r="AE17" s="68"/>
      <c r="AF17" s="42">
        <f>AVERAGE(Y$48:Y$67)</f>
        <v>14.6</v>
      </c>
      <c r="AG17" s="79"/>
    </row>
    <row r="18" spans="1:33" ht="14.4" thickBot="1" x14ac:dyDescent="0.35">
      <c r="A18" s="37" t="s">
        <v>222</v>
      </c>
      <c r="B18" s="44" t="s">
        <v>145</v>
      </c>
      <c r="C18" s="44">
        <v>15</v>
      </c>
      <c r="D18" s="44" t="s">
        <v>223</v>
      </c>
      <c r="E18" s="60">
        <f t="shared" si="0"/>
        <v>0.91262379340604238</v>
      </c>
      <c r="F18" s="355"/>
      <c r="K18" s="5"/>
      <c r="Q18" s="93" t="s">
        <v>388</v>
      </c>
      <c r="R18" s="94">
        <v>0.91044690077830015</v>
      </c>
      <c r="S18" s="93" t="s">
        <v>208</v>
      </c>
      <c r="W18" s="37" t="s">
        <v>292</v>
      </c>
      <c r="X18" s="44" t="s">
        <v>147</v>
      </c>
      <c r="Y18" s="44">
        <v>13</v>
      </c>
      <c r="Z18" s="44" t="s">
        <v>451</v>
      </c>
      <c r="AA18" s="70">
        <v>1</v>
      </c>
      <c r="AC18" s="57" t="s">
        <v>215</v>
      </c>
      <c r="AD18" s="57" t="s">
        <v>139</v>
      </c>
      <c r="AE18" s="57" t="s">
        <v>140</v>
      </c>
      <c r="AG18" s="80"/>
    </row>
    <row r="19" spans="1:33" ht="13.8" x14ac:dyDescent="0.3">
      <c r="A19" s="37" t="s">
        <v>224</v>
      </c>
      <c r="B19" s="44" t="s">
        <v>145</v>
      </c>
      <c r="C19" s="44">
        <v>15</v>
      </c>
      <c r="D19" s="44" t="s">
        <v>225</v>
      </c>
      <c r="E19" s="60">
        <f t="shared" si="0"/>
        <v>0.84890438247011957</v>
      </c>
      <c r="F19" s="355"/>
      <c r="K19" s="5"/>
      <c r="Q19" s="93" t="s">
        <v>255</v>
      </c>
      <c r="R19" s="94">
        <v>0.72270267536539723</v>
      </c>
      <c r="S19" s="93" t="s">
        <v>209</v>
      </c>
      <c r="W19" s="37" t="s">
        <v>364</v>
      </c>
      <c r="X19" s="44" t="s">
        <v>147</v>
      </c>
      <c r="Y19" s="44">
        <v>13</v>
      </c>
      <c r="Z19" s="44" t="s">
        <v>365</v>
      </c>
      <c r="AA19" s="70">
        <v>1</v>
      </c>
      <c r="AC19" s="37" t="s">
        <v>142</v>
      </c>
      <c r="AD19" s="49">
        <f>COUNTIF(Y$48:Y$67,"&gt;16")</f>
        <v>2</v>
      </c>
      <c r="AE19" s="50">
        <f>AD19/AD$14</f>
        <v>5.7142857142857141E-2</v>
      </c>
      <c r="AG19" s="80"/>
    </row>
    <row r="20" spans="1:33" ht="13.8" x14ac:dyDescent="0.3">
      <c r="A20" s="37" t="s">
        <v>405</v>
      </c>
      <c r="B20" s="44" t="s">
        <v>145</v>
      </c>
      <c r="C20" s="44">
        <v>15</v>
      </c>
      <c r="D20" s="44" t="s">
        <v>406</v>
      </c>
      <c r="E20" s="60">
        <f t="shared" si="0"/>
        <v>0.66731657086909912</v>
      </c>
      <c r="F20" s="355"/>
      <c r="K20" s="5"/>
      <c r="Q20" s="93" t="s">
        <v>435</v>
      </c>
      <c r="R20" s="94">
        <v>0.99675869094774683</v>
      </c>
      <c r="S20" s="93" t="s">
        <v>208</v>
      </c>
      <c r="W20" s="37" t="s">
        <v>306</v>
      </c>
      <c r="X20" s="44" t="s">
        <v>145</v>
      </c>
      <c r="Y20" s="44">
        <v>15</v>
      </c>
      <c r="Z20" s="44" t="s">
        <v>307</v>
      </c>
      <c r="AA20" s="70">
        <v>0.99967400162999187</v>
      </c>
      <c r="AC20" s="37" t="s">
        <v>144</v>
      </c>
      <c r="AD20" s="49">
        <f>COUNTIF(Y$48:Y$67,"=16")</f>
        <v>2</v>
      </c>
      <c r="AE20" s="50">
        <f t="shared" ref="AE20:AE25" si="3">AD20/AD$14</f>
        <v>5.7142857142857141E-2</v>
      </c>
      <c r="AG20" s="80"/>
    </row>
    <row r="21" spans="1:33" ht="13.8" x14ac:dyDescent="0.3">
      <c r="A21" s="37" t="s">
        <v>452</v>
      </c>
      <c r="B21" s="44" t="s">
        <v>145</v>
      </c>
      <c r="C21" s="44">
        <v>15</v>
      </c>
      <c r="D21" s="44" t="s">
        <v>453</v>
      </c>
      <c r="E21" s="60" t="s">
        <v>433</v>
      </c>
      <c r="F21" s="355"/>
      <c r="Q21" s="93" t="s">
        <v>199</v>
      </c>
      <c r="R21" s="94">
        <v>0.58142655748172922</v>
      </c>
      <c r="S21" s="93" t="s">
        <v>209</v>
      </c>
      <c r="W21" s="37" t="s">
        <v>421</v>
      </c>
      <c r="X21" s="44" t="s">
        <v>180</v>
      </c>
      <c r="Y21" s="44">
        <v>11</v>
      </c>
      <c r="Z21" s="44" t="s">
        <v>422</v>
      </c>
      <c r="AA21" s="70">
        <v>0.99872589064335693</v>
      </c>
      <c r="AC21" s="37" t="s">
        <v>145</v>
      </c>
      <c r="AD21" s="49">
        <f>COUNTIF(Y$48:Y$67,"=15")</f>
        <v>5</v>
      </c>
      <c r="AE21" s="50">
        <f t="shared" si="3"/>
        <v>0.14285714285714285</v>
      </c>
      <c r="AG21" s="80"/>
    </row>
    <row r="22" spans="1:33" ht="13.8" x14ac:dyDescent="0.3">
      <c r="A22" s="37" t="s">
        <v>454</v>
      </c>
      <c r="B22" s="44" t="s">
        <v>145</v>
      </c>
      <c r="C22" s="44">
        <v>15</v>
      </c>
      <c r="D22" s="44" t="s">
        <v>455</v>
      </c>
      <c r="E22" s="60" t="s">
        <v>433</v>
      </c>
      <c r="F22" s="355"/>
      <c r="Q22" s="93" t="s">
        <v>464</v>
      </c>
      <c r="R22" s="94">
        <v>1</v>
      </c>
      <c r="S22" s="93" t="s">
        <v>208</v>
      </c>
      <c r="W22" s="37" t="s">
        <v>441</v>
      </c>
      <c r="X22" s="44" t="s">
        <v>169</v>
      </c>
      <c r="Y22" s="44">
        <v>18</v>
      </c>
      <c r="Z22" s="44" t="s">
        <v>442</v>
      </c>
      <c r="AA22" s="70">
        <v>0.99706741779950658</v>
      </c>
      <c r="AC22" s="37" t="s">
        <v>146</v>
      </c>
      <c r="AD22" s="49">
        <f>COUNTIF(Y$48:Y$67,"=14")</f>
        <v>6</v>
      </c>
      <c r="AE22" s="50">
        <f t="shared" si="3"/>
        <v>0.17142857142857143</v>
      </c>
      <c r="AG22" s="80"/>
    </row>
    <row r="23" spans="1:33" ht="13.8" x14ac:dyDescent="0.3">
      <c r="A23" s="37" t="s">
        <v>276</v>
      </c>
      <c r="B23" s="44" t="s">
        <v>145</v>
      </c>
      <c r="C23" s="44">
        <v>15</v>
      </c>
      <c r="D23" s="44" t="s">
        <v>277</v>
      </c>
      <c r="E23" s="60">
        <f t="shared" si="0"/>
        <v>0.36017814864816144</v>
      </c>
      <c r="F23" s="355"/>
      <c r="Q23" s="93" t="s">
        <v>267</v>
      </c>
      <c r="R23" s="94">
        <v>0.81467245298615421</v>
      </c>
      <c r="S23" s="93" t="s">
        <v>208</v>
      </c>
      <c r="W23" s="37" t="s">
        <v>302</v>
      </c>
      <c r="X23" s="44" t="s">
        <v>146</v>
      </c>
      <c r="Y23" s="44">
        <v>14</v>
      </c>
      <c r="Z23" s="44" t="s">
        <v>303</v>
      </c>
      <c r="AA23" s="70">
        <v>0.99458022018280356</v>
      </c>
      <c r="AC23" s="37" t="s">
        <v>147</v>
      </c>
      <c r="AD23" s="49">
        <f>COUNTIF(Y$48:Y$67,"=13")</f>
        <v>5</v>
      </c>
      <c r="AE23" s="50">
        <f t="shared" si="3"/>
        <v>0.14285714285714285</v>
      </c>
      <c r="AG23" s="80"/>
    </row>
    <row r="24" spans="1:33" ht="14.4" thickBot="1" x14ac:dyDescent="0.35">
      <c r="A24" s="37" t="s">
        <v>418</v>
      </c>
      <c r="B24" s="44" t="s">
        <v>145</v>
      </c>
      <c r="C24" s="44">
        <v>15</v>
      </c>
      <c r="D24" s="44" t="s">
        <v>461</v>
      </c>
      <c r="E24" s="60">
        <f t="shared" si="0"/>
        <v>0.7469877361024081</v>
      </c>
      <c r="F24" s="355"/>
      <c r="Q24" s="93" t="s">
        <v>269</v>
      </c>
      <c r="R24" s="94">
        <v>0.7497019635343618</v>
      </c>
      <c r="S24" s="93" t="s">
        <v>209</v>
      </c>
      <c r="W24" s="37" t="s">
        <v>310</v>
      </c>
      <c r="X24" s="44" t="s">
        <v>178</v>
      </c>
      <c r="Y24" s="44">
        <v>12</v>
      </c>
      <c r="Z24" s="44" t="s">
        <v>466</v>
      </c>
      <c r="AA24" s="70">
        <v>0.99417211067658851</v>
      </c>
      <c r="AC24" s="53" t="s">
        <v>148</v>
      </c>
      <c r="AD24" s="55">
        <f>COUNTIF(Y$48:Y$67,"&lt;13")</f>
        <v>0</v>
      </c>
      <c r="AE24" s="56">
        <f t="shared" si="3"/>
        <v>0</v>
      </c>
      <c r="AG24" s="80"/>
    </row>
    <row r="25" spans="1:33" ht="13.8" x14ac:dyDescent="0.3">
      <c r="A25" s="37" t="s">
        <v>282</v>
      </c>
      <c r="B25" s="44" t="s">
        <v>145</v>
      </c>
      <c r="C25" s="44">
        <v>15</v>
      </c>
      <c r="D25" s="44" t="s">
        <v>283</v>
      </c>
      <c r="E25" s="60">
        <f t="shared" si="0"/>
        <v>0.75386351438754873</v>
      </c>
      <c r="F25" s="355"/>
      <c r="Q25" s="93" t="s">
        <v>465</v>
      </c>
      <c r="R25" s="94">
        <v>0.96341849943457658</v>
      </c>
      <c r="S25" s="93" t="s">
        <v>208</v>
      </c>
      <c r="W25" s="37" t="s">
        <v>399</v>
      </c>
      <c r="X25" s="44" t="s">
        <v>146</v>
      </c>
      <c r="Y25" s="44">
        <v>14</v>
      </c>
      <c r="Z25" s="44" t="s">
        <v>400</v>
      </c>
      <c r="AA25" s="70">
        <v>0.9915841495030967</v>
      </c>
      <c r="AC25" s="41" t="s">
        <v>149</v>
      </c>
      <c r="AD25" s="51">
        <f>SUM(AD19:AD24)</f>
        <v>20</v>
      </c>
      <c r="AE25" s="52">
        <f t="shared" si="3"/>
        <v>0.5714285714285714</v>
      </c>
      <c r="AG25" s="80"/>
    </row>
    <row r="26" spans="1:33" ht="13.8" x14ac:dyDescent="0.3">
      <c r="A26" s="37" t="s">
        <v>306</v>
      </c>
      <c r="B26" s="44" t="s">
        <v>145</v>
      </c>
      <c r="C26" s="44">
        <v>15</v>
      </c>
      <c r="D26" s="44" t="s">
        <v>307</v>
      </c>
      <c r="E26" s="60">
        <f t="shared" si="0"/>
        <v>0.99967400162999187</v>
      </c>
      <c r="F26" s="355"/>
      <c r="Q26" s="93" t="s">
        <v>233</v>
      </c>
      <c r="R26" s="94">
        <v>0.89410444897115693</v>
      </c>
      <c r="S26" s="93" t="s">
        <v>208</v>
      </c>
      <c r="W26" s="37" t="s">
        <v>286</v>
      </c>
      <c r="X26" s="44" t="s">
        <v>147</v>
      </c>
      <c r="Y26" s="44">
        <v>13</v>
      </c>
      <c r="Z26" s="44" t="s">
        <v>287</v>
      </c>
      <c r="AA26" s="70">
        <v>0.97501693766937669</v>
      </c>
      <c r="AG26" s="80"/>
    </row>
    <row r="27" spans="1:33" ht="13.8" x14ac:dyDescent="0.3">
      <c r="A27" s="37" t="s">
        <v>290</v>
      </c>
      <c r="B27" s="44" t="s">
        <v>145</v>
      </c>
      <c r="C27" s="44">
        <v>15</v>
      </c>
      <c r="D27" s="44" t="s">
        <v>291</v>
      </c>
      <c r="E27" s="60">
        <f t="shared" si="0"/>
        <v>1</v>
      </c>
      <c r="F27" s="355"/>
      <c r="Q27" s="93" t="s">
        <v>378</v>
      </c>
      <c r="R27" s="94">
        <v>1.0293089747728885</v>
      </c>
      <c r="S27" s="93" t="s">
        <v>208</v>
      </c>
      <c r="W27" s="37" t="s">
        <v>227</v>
      </c>
      <c r="X27" s="44" t="s">
        <v>146</v>
      </c>
      <c r="Y27" s="44">
        <v>14</v>
      </c>
      <c r="Z27" s="44" t="s">
        <v>228</v>
      </c>
      <c r="AA27" s="70">
        <v>0.97067096880946468</v>
      </c>
      <c r="AG27" s="80"/>
    </row>
    <row r="28" spans="1:33" ht="13.8" x14ac:dyDescent="0.3">
      <c r="A28" s="37" t="s">
        <v>437</v>
      </c>
      <c r="B28" s="44" t="s">
        <v>145</v>
      </c>
      <c r="C28" s="44">
        <v>15</v>
      </c>
      <c r="D28" s="44" t="s">
        <v>438</v>
      </c>
      <c r="E28" s="60">
        <f t="shared" si="0"/>
        <v>0.85164553720066594</v>
      </c>
      <c r="F28" s="355"/>
      <c r="Q28" s="93" t="s">
        <v>341</v>
      </c>
      <c r="R28" s="94">
        <v>1</v>
      </c>
      <c r="S28" s="93" t="s">
        <v>208</v>
      </c>
      <c r="W28" s="37" t="s">
        <v>468</v>
      </c>
      <c r="X28" s="44" t="s">
        <v>178</v>
      </c>
      <c r="Y28" s="44">
        <v>12</v>
      </c>
      <c r="Z28" s="44" t="s">
        <v>469</v>
      </c>
      <c r="AA28" s="70">
        <v>0.97028603165787286</v>
      </c>
      <c r="AC28" s="67" t="s">
        <v>152</v>
      </c>
      <c r="AD28" s="68"/>
      <c r="AE28" s="68"/>
      <c r="AF28" s="42">
        <f>AVERAGE(Y$68:Y$72)</f>
        <v>12.6</v>
      </c>
      <c r="AG28" s="79"/>
    </row>
    <row r="29" spans="1:33" ht="14.4" thickBot="1" x14ac:dyDescent="0.35">
      <c r="A29" s="37" t="s">
        <v>357</v>
      </c>
      <c r="B29" s="44" t="s">
        <v>145</v>
      </c>
      <c r="C29" s="44">
        <v>15</v>
      </c>
      <c r="D29" s="44" t="s">
        <v>358</v>
      </c>
      <c r="E29" s="60">
        <f t="shared" si="0"/>
        <v>0.77327600463039525</v>
      </c>
      <c r="F29" s="355"/>
      <c r="Q29" s="93" t="s">
        <v>467</v>
      </c>
      <c r="R29" s="94">
        <v>0.27230062686467099</v>
      </c>
      <c r="S29" s="93" t="s">
        <v>199</v>
      </c>
      <c r="W29" s="37" t="s">
        <v>355</v>
      </c>
      <c r="X29" s="44" t="s">
        <v>144</v>
      </c>
      <c r="Y29" s="44">
        <v>16</v>
      </c>
      <c r="Z29" s="44" t="s">
        <v>356</v>
      </c>
      <c r="AA29" s="70">
        <v>0.96644084643352246</v>
      </c>
      <c r="AC29" s="57" t="s">
        <v>215</v>
      </c>
      <c r="AD29" s="57" t="s">
        <v>139</v>
      </c>
      <c r="AE29" s="57" t="s">
        <v>140</v>
      </c>
    </row>
    <row r="30" spans="1:33" ht="13.8" x14ac:dyDescent="0.3">
      <c r="A30" s="37" t="s">
        <v>296</v>
      </c>
      <c r="B30" s="44" t="s">
        <v>145</v>
      </c>
      <c r="C30" s="44">
        <v>15</v>
      </c>
      <c r="D30" s="44" t="s">
        <v>297</v>
      </c>
      <c r="E30" s="60">
        <f t="shared" si="0"/>
        <v>0.614337822671156</v>
      </c>
      <c r="F30" s="355"/>
      <c r="Q30" s="93" t="s">
        <v>271</v>
      </c>
      <c r="R30" s="94">
        <v>0.78356336260978665</v>
      </c>
      <c r="S30" s="93" t="s">
        <v>209</v>
      </c>
      <c r="W30" s="37" t="s">
        <v>470</v>
      </c>
      <c r="X30" s="44" t="s">
        <v>144</v>
      </c>
      <c r="Y30" s="44">
        <v>16</v>
      </c>
      <c r="Z30" s="44" t="s">
        <v>465</v>
      </c>
      <c r="AA30" s="70">
        <v>0.96341849943457658</v>
      </c>
      <c r="AC30" s="37" t="s">
        <v>142</v>
      </c>
      <c r="AD30" s="49">
        <f>COUNTIF(Y$68:Y$72,"&gt;16")</f>
        <v>0</v>
      </c>
      <c r="AE30" s="50">
        <f>AD30/AD$14</f>
        <v>0</v>
      </c>
    </row>
    <row r="31" spans="1:33" ht="13.8" x14ac:dyDescent="0.3">
      <c r="A31" s="37" t="s">
        <v>252</v>
      </c>
      <c r="B31" s="44" t="s">
        <v>145</v>
      </c>
      <c r="C31" s="44">
        <v>15</v>
      </c>
      <c r="D31" s="44" t="s">
        <v>253</v>
      </c>
      <c r="E31" s="60">
        <f t="shared" si="0"/>
        <v>0.84932154135723226</v>
      </c>
      <c r="F31" s="355"/>
      <c r="K31" s="122"/>
      <c r="L31" s="122"/>
      <c r="Q31" s="93" t="s">
        <v>273</v>
      </c>
      <c r="R31" s="94">
        <v>0.79472908539599674</v>
      </c>
      <c r="S31" s="93" t="s">
        <v>209</v>
      </c>
      <c r="W31" s="37" t="s">
        <v>404</v>
      </c>
      <c r="X31" s="44" t="s">
        <v>146</v>
      </c>
      <c r="Y31" s="44">
        <v>14</v>
      </c>
      <c r="Z31" s="44" t="s">
        <v>241</v>
      </c>
      <c r="AA31" s="70">
        <v>0.9619710194413027</v>
      </c>
      <c r="AC31" s="37" t="s">
        <v>144</v>
      </c>
      <c r="AD31" s="49">
        <f>COUNTIF(Y$68:Y$72,"=16")</f>
        <v>0</v>
      </c>
      <c r="AE31" s="50">
        <f t="shared" ref="AE31:AE36" si="4">AD31/AD$14</f>
        <v>0</v>
      </c>
    </row>
    <row r="32" spans="1:33" ht="13.8" x14ac:dyDescent="0.3">
      <c r="A32" s="37" t="s">
        <v>256</v>
      </c>
      <c r="B32" s="44" t="s">
        <v>145</v>
      </c>
      <c r="C32" s="44">
        <v>15</v>
      </c>
      <c r="D32" s="44" t="s">
        <v>257</v>
      </c>
      <c r="E32" s="60">
        <f t="shared" si="0"/>
        <v>0.94699999999999995</v>
      </c>
      <c r="F32" s="355"/>
      <c r="L32" s="122"/>
      <c r="Q32" s="93" t="s">
        <v>275</v>
      </c>
      <c r="R32" s="94">
        <v>0.60422936152907691</v>
      </c>
      <c r="S32" s="93" t="s">
        <v>209</v>
      </c>
      <c r="W32" s="37" t="s">
        <v>288</v>
      </c>
      <c r="X32" s="44" t="s">
        <v>146</v>
      </c>
      <c r="Y32" s="44">
        <v>14</v>
      </c>
      <c r="Z32" s="44" t="s">
        <v>289</v>
      </c>
      <c r="AA32" s="70">
        <v>0.96099371344273887</v>
      </c>
      <c r="AC32" s="37" t="s">
        <v>145</v>
      </c>
      <c r="AD32" s="49">
        <f>COUNTIF(Y$68:Y$72,"=15")</f>
        <v>1</v>
      </c>
      <c r="AE32" s="50">
        <f t="shared" si="4"/>
        <v>2.8571428571428571E-2</v>
      </c>
    </row>
    <row r="33" spans="1:31" ht="13.8" x14ac:dyDescent="0.3">
      <c r="A33" s="45" t="s">
        <v>227</v>
      </c>
      <c r="B33" s="46" t="s">
        <v>146</v>
      </c>
      <c r="C33" s="46">
        <v>14</v>
      </c>
      <c r="D33" s="46" t="s">
        <v>228</v>
      </c>
      <c r="E33" s="61">
        <f t="shared" si="0"/>
        <v>0.97067096880946468</v>
      </c>
      <c r="F33" s="355"/>
      <c r="L33" s="122"/>
      <c r="Q33" s="93" t="s">
        <v>281</v>
      </c>
      <c r="R33" s="94">
        <v>0.66983442164179108</v>
      </c>
      <c r="S33" s="93" t="s">
        <v>209</v>
      </c>
      <c r="W33" s="37" t="s">
        <v>256</v>
      </c>
      <c r="X33" s="44" t="s">
        <v>145</v>
      </c>
      <c r="Y33" s="44">
        <v>15</v>
      </c>
      <c r="Z33" s="44" t="s">
        <v>257</v>
      </c>
      <c r="AA33" s="70">
        <v>0.94699999999999995</v>
      </c>
      <c r="AC33" s="37" t="s">
        <v>146</v>
      </c>
      <c r="AD33" s="49">
        <f>COUNTIF(Y$68:Y$72,"=14")</f>
        <v>2</v>
      </c>
      <c r="AE33" s="50">
        <f t="shared" si="4"/>
        <v>5.7142857142857141E-2</v>
      </c>
    </row>
    <row r="34" spans="1:31" ht="13.8" x14ac:dyDescent="0.3">
      <c r="A34" s="45" t="s">
        <v>254</v>
      </c>
      <c r="B34" s="46" t="s">
        <v>146</v>
      </c>
      <c r="C34" s="46">
        <v>14</v>
      </c>
      <c r="D34" s="46" t="s">
        <v>255</v>
      </c>
      <c r="E34" s="61">
        <f t="shared" si="0"/>
        <v>0.72270267536539723</v>
      </c>
      <c r="F34" s="355"/>
      <c r="L34" s="122"/>
      <c r="Q34" s="93" t="s">
        <v>363</v>
      </c>
      <c r="R34" s="94">
        <v>1.0333026830763428</v>
      </c>
      <c r="S34" s="93" t="s">
        <v>208</v>
      </c>
      <c r="W34" s="37" t="s">
        <v>243</v>
      </c>
      <c r="X34" s="44" t="s">
        <v>147</v>
      </c>
      <c r="Y34" s="44">
        <v>13</v>
      </c>
      <c r="Z34" s="44" t="s">
        <v>244</v>
      </c>
      <c r="AA34" s="70">
        <v>0.9427287640364086</v>
      </c>
      <c r="AC34" s="37" t="s">
        <v>147</v>
      </c>
      <c r="AD34" s="49">
        <f>COUNTIF(Y$68:Y$72,"=13")</f>
        <v>1</v>
      </c>
      <c r="AE34" s="50">
        <f t="shared" si="4"/>
        <v>2.8571428571428571E-2</v>
      </c>
    </row>
    <row r="35" spans="1:31" ht="14.4" thickBot="1" x14ac:dyDescent="0.35">
      <c r="A35" s="45" t="s">
        <v>259</v>
      </c>
      <c r="B35" s="46" t="s">
        <v>146</v>
      </c>
      <c r="C35" s="46">
        <v>14</v>
      </c>
      <c r="D35" s="46" t="s">
        <v>388</v>
      </c>
      <c r="E35" s="61">
        <f t="shared" si="0"/>
        <v>0.91044690077830015</v>
      </c>
      <c r="F35" s="355"/>
      <c r="G35" s="49" t="s">
        <v>383</v>
      </c>
      <c r="L35" s="122"/>
      <c r="Q35" s="93" t="s">
        <v>285</v>
      </c>
      <c r="R35" s="94">
        <v>0.44575810739314115</v>
      </c>
      <c r="S35" s="93" t="s">
        <v>199</v>
      </c>
      <c r="W35" s="37" t="s">
        <v>298</v>
      </c>
      <c r="X35" s="44" t="s">
        <v>171</v>
      </c>
      <c r="Y35" s="44">
        <v>17</v>
      </c>
      <c r="Z35" s="44" t="s">
        <v>299</v>
      </c>
      <c r="AA35" s="70">
        <v>0.93000422702993502</v>
      </c>
      <c r="AC35" s="53" t="s">
        <v>148</v>
      </c>
      <c r="AD35" s="55">
        <f>COUNTIF(Y$68:Y$72,"&lt;13")</f>
        <v>1</v>
      </c>
      <c r="AE35" s="56">
        <f t="shared" si="4"/>
        <v>2.8571428571428571E-2</v>
      </c>
    </row>
    <row r="36" spans="1:31" ht="13.8" x14ac:dyDescent="0.3">
      <c r="A36" s="45" t="s">
        <v>266</v>
      </c>
      <c r="B36" s="46" t="s">
        <v>146</v>
      </c>
      <c r="C36" s="46">
        <v>14</v>
      </c>
      <c r="D36" s="46" t="s">
        <v>267</v>
      </c>
      <c r="E36" s="61">
        <f t="shared" si="0"/>
        <v>0.81467245298615421</v>
      </c>
      <c r="F36" s="355"/>
      <c r="G36" s="92"/>
      <c r="H36" s="7"/>
      <c r="I36" s="7"/>
      <c r="L36" s="122"/>
      <c r="Q36" s="93" t="s">
        <v>289</v>
      </c>
      <c r="R36" s="94">
        <v>0.96099371344273887</v>
      </c>
      <c r="S36" s="93" t="s">
        <v>208</v>
      </c>
      <c r="W36" s="37" t="s">
        <v>222</v>
      </c>
      <c r="X36" s="44" t="s">
        <v>145</v>
      </c>
      <c r="Y36" s="44">
        <v>15</v>
      </c>
      <c r="Z36" s="44" t="s">
        <v>223</v>
      </c>
      <c r="AA36" s="70">
        <v>0.91262379340604238</v>
      </c>
      <c r="AC36" s="41" t="s">
        <v>149</v>
      </c>
      <c r="AD36" s="51">
        <f>SUM(AD30:AD35)</f>
        <v>5</v>
      </c>
      <c r="AE36" s="52">
        <f t="shared" si="4"/>
        <v>0.14285714285714285</v>
      </c>
    </row>
    <row r="37" spans="1:31" ht="13.8" x14ac:dyDescent="0.3">
      <c r="A37" s="45" t="s">
        <v>338</v>
      </c>
      <c r="B37" s="46" t="s">
        <v>146</v>
      </c>
      <c r="C37" s="46">
        <v>14</v>
      </c>
      <c r="D37" s="46" t="s">
        <v>341</v>
      </c>
      <c r="E37" s="61">
        <f t="shared" si="0"/>
        <v>1</v>
      </c>
      <c r="F37" s="355"/>
      <c r="H37" s="5"/>
      <c r="J37" s="7"/>
      <c r="Q37" s="93" t="s">
        <v>225</v>
      </c>
      <c r="R37" s="94">
        <v>0.84890438247011957</v>
      </c>
      <c r="S37" s="93" t="s">
        <v>208</v>
      </c>
      <c r="W37" s="37" t="s">
        <v>259</v>
      </c>
      <c r="X37" s="44" t="s">
        <v>146</v>
      </c>
      <c r="Y37" s="44">
        <v>14</v>
      </c>
      <c r="Z37" s="44" t="s">
        <v>388</v>
      </c>
      <c r="AA37" s="70">
        <v>0.91044690077830015</v>
      </c>
    </row>
    <row r="38" spans="1:31" ht="13.8" x14ac:dyDescent="0.3">
      <c r="A38" s="45" t="s">
        <v>272</v>
      </c>
      <c r="B38" s="46" t="s">
        <v>146</v>
      </c>
      <c r="C38" s="46">
        <v>14</v>
      </c>
      <c r="D38" s="46" t="s">
        <v>273</v>
      </c>
      <c r="E38" s="61">
        <f t="shared" si="0"/>
        <v>0.79472908539599674</v>
      </c>
      <c r="F38" s="355"/>
      <c r="H38" s="5"/>
      <c r="J38" s="8"/>
      <c r="Q38" s="93" t="s">
        <v>486</v>
      </c>
      <c r="R38" s="94">
        <v>0.98237685298627964</v>
      </c>
      <c r="S38" s="93" t="s">
        <v>208</v>
      </c>
      <c r="W38" s="37" t="s">
        <v>379</v>
      </c>
      <c r="X38" s="44" t="s">
        <v>146</v>
      </c>
      <c r="Y38" s="44">
        <v>14</v>
      </c>
      <c r="Z38" s="44" t="s">
        <v>385</v>
      </c>
      <c r="AA38" s="70">
        <v>0.90975829351063098</v>
      </c>
    </row>
    <row r="39" spans="1:31" ht="13.8" x14ac:dyDescent="0.3">
      <c r="A39" s="45" t="s">
        <v>274</v>
      </c>
      <c r="B39" s="46" t="s">
        <v>146</v>
      </c>
      <c r="C39" s="46">
        <v>14</v>
      </c>
      <c r="D39" s="46" t="s">
        <v>275</v>
      </c>
      <c r="E39" s="61">
        <f t="shared" si="0"/>
        <v>0.60422936152907691</v>
      </c>
      <c r="F39" s="355"/>
      <c r="H39" s="5"/>
      <c r="J39" s="8"/>
      <c r="Q39" s="93" t="s">
        <v>277</v>
      </c>
      <c r="R39" s="94">
        <v>0.36017814864816144</v>
      </c>
      <c r="S39" s="93" t="s">
        <v>199</v>
      </c>
      <c r="W39" s="37" t="s">
        <v>261</v>
      </c>
      <c r="X39" s="44" t="s">
        <v>147</v>
      </c>
      <c r="Y39" s="44">
        <v>13</v>
      </c>
      <c r="Z39" s="44" t="s">
        <v>262</v>
      </c>
      <c r="AA39" s="70">
        <v>0.90135028841111697</v>
      </c>
    </row>
    <row r="40" spans="1:31" ht="13.8" x14ac:dyDescent="0.3">
      <c r="A40" s="45" t="s">
        <v>280</v>
      </c>
      <c r="B40" s="46" t="s">
        <v>146</v>
      </c>
      <c r="C40" s="46">
        <v>14</v>
      </c>
      <c r="D40" s="46" t="s">
        <v>281</v>
      </c>
      <c r="E40" s="61">
        <f t="shared" si="0"/>
        <v>0.66983442164179108</v>
      </c>
      <c r="F40" s="355"/>
      <c r="H40" s="5"/>
      <c r="J40" s="8"/>
      <c r="Q40" s="93" t="s">
        <v>471</v>
      </c>
      <c r="R40" s="94">
        <v>0.77794419936265724</v>
      </c>
      <c r="S40" s="93" t="s">
        <v>209</v>
      </c>
      <c r="W40" s="37" t="s">
        <v>232</v>
      </c>
      <c r="X40" s="44" t="s">
        <v>144</v>
      </c>
      <c r="Y40" s="44">
        <v>16</v>
      </c>
      <c r="Z40" s="44" t="s">
        <v>233</v>
      </c>
      <c r="AA40" s="70">
        <v>0.89410444897115693</v>
      </c>
    </row>
    <row r="41" spans="1:31" ht="13.8" x14ac:dyDescent="0.3">
      <c r="A41" s="45" t="s">
        <v>362</v>
      </c>
      <c r="B41" s="46" t="s">
        <v>146</v>
      </c>
      <c r="C41" s="46">
        <v>14</v>
      </c>
      <c r="D41" s="46" t="s">
        <v>363</v>
      </c>
      <c r="E41" s="61">
        <f t="shared" si="0"/>
        <v>1.0333026830763428</v>
      </c>
      <c r="F41" s="355"/>
      <c r="H41" s="5"/>
      <c r="J41" s="8"/>
      <c r="Q41" s="93" t="s">
        <v>246</v>
      </c>
      <c r="R41" s="94">
        <v>0.55330389203021169</v>
      </c>
      <c r="S41" s="93" t="s">
        <v>209</v>
      </c>
      <c r="W41" s="37" t="s">
        <v>308</v>
      </c>
      <c r="X41" s="44" t="s">
        <v>182</v>
      </c>
      <c r="Y41" s="44">
        <v>10</v>
      </c>
      <c r="Z41" s="44" t="s">
        <v>309</v>
      </c>
      <c r="AA41" s="70">
        <v>0.89259170051200387</v>
      </c>
    </row>
    <row r="42" spans="1:31" ht="13.8" x14ac:dyDescent="0.3">
      <c r="A42" s="45" t="s">
        <v>456</v>
      </c>
      <c r="B42" s="46" t="s">
        <v>146</v>
      </c>
      <c r="C42" s="46">
        <v>14</v>
      </c>
      <c r="D42" s="46" t="s">
        <v>457</v>
      </c>
      <c r="E42" s="61" t="s">
        <v>433</v>
      </c>
      <c r="F42" s="355"/>
      <c r="H42" s="5"/>
      <c r="J42" s="8"/>
      <c r="Q42" s="93" t="s">
        <v>279</v>
      </c>
      <c r="R42" s="94">
        <v>0.58034319753835939</v>
      </c>
      <c r="S42" s="93" t="s">
        <v>209</v>
      </c>
      <c r="W42" s="37" t="s">
        <v>472</v>
      </c>
      <c r="X42" s="44" t="s">
        <v>171</v>
      </c>
      <c r="Y42" s="44">
        <v>17</v>
      </c>
      <c r="Z42" s="44" t="s">
        <v>463</v>
      </c>
      <c r="AA42" s="70">
        <v>0.87497195036407094</v>
      </c>
    </row>
    <row r="43" spans="1:31" ht="13.8" x14ac:dyDescent="0.3">
      <c r="A43" s="45" t="s">
        <v>284</v>
      </c>
      <c r="B43" s="46" t="s">
        <v>146</v>
      </c>
      <c r="C43" s="46">
        <v>14</v>
      </c>
      <c r="D43" s="46" t="s">
        <v>285</v>
      </c>
      <c r="E43" s="61">
        <f t="shared" si="0"/>
        <v>0.44575810739314115</v>
      </c>
      <c r="F43" s="355"/>
      <c r="Q43" s="93" t="s">
        <v>442</v>
      </c>
      <c r="R43" s="94">
        <v>0.99706741779950658</v>
      </c>
      <c r="S43" s="93" t="s">
        <v>208</v>
      </c>
      <c r="W43" s="37" t="s">
        <v>437</v>
      </c>
      <c r="X43" s="44" t="s">
        <v>145</v>
      </c>
      <c r="Y43" s="44">
        <v>15</v>
      </c>
      <c r="Z43" s="44" t="s">
        <v>438</v>
      </c>
      <c r="AA43" s="70">
        <v>0.85164553720066594</v>
      </c>
    </row>
    <row r="44" spans="1:31" ht="13.8" x14ac:dyDescent="0.3">
      <c r="A44" s="45" t="s">
        <v>288</v>
      </c>
      <c r="B44" s="46" t="s">
        <v>146</v>
      </c>
      <c r="C44" s="46">
        <v>14</v>
      </c>
      <c r="D44" s="46" t="s">
        <v>289</v>
      </c>
      <c r="E44" s="61">
        <f t="shared" si="0"/>
        <v>0.96099371344273887</v>
      </c>
      <c r="F44" s="355"/>
      <c r="Q44" s="93" t="s">
        <v>241</v>
      </c>
      <c r="R44" s="94">
        <v>0.9619710194413027</v>
      </c>
      <c r="S44" s="93" t="s">
        <v>208</v>
      </c>
      <c r="W44" s="37" t="s">
        <v>252</v>
      </c>
      <c r="X44" s="44" t="s">
        <v>145</v>
      </c>
      <c r="Y44" s="44">
        <v>15</v>
      </c>
      <c r="Z44" s="44" t="s">
        <v>253</v>
      </c>
      <c r="AA44" s="70">
        <v>0.84932154135723226</v>
      </c>
    </row>
    <row r="45" spans="1:31" ht="13.8" x14ac:dyDescent="0.3">
      <c r="A45" s="45" t="s">
        <v>404</v>
      </c>
      <c r="B45" s="46" t="s">
        <v>146</v>
      </c>
      <c r="C45" s="46">
        <v>14</v>
      </c>
      <c r="D45" s="46" t="s">
        <v>241</v>
      </c>
      <c r="E45" s="61">
        <f t="shared" si="0"/>
        <v>0.9619710194413027</v>
      </c>
      <c r="F45" s="355"/>
      <c r="Q45" s="93" t="s">
        <v>422</v>
      </c>
      <c r="R45" s="94">
        <v>0.99872589064335693</v>
      </c>
      <c r="S45" s="93" t="s">
        <v>208</v>
      </c>
      <c r="W45" s="37" t="s">
        <v>224</v>
      </c>
      <c r="X45" s="44" t="s">
        <v>145</v>
      </c>
      <c r="Y45" s="44">
        <v>15</v>
      </c>
      <c r="Z45" s="44" t="s">
        <v>225</v>
      </c>
      <c r="AA45" s="70">
        <v>0.84890438247011957</v>
      </c>
    </row>
    <row r="46" spans="1:31" ht="13.8" x14ac:dyDescent="0.3">
      <c r="A46" s="45" t="s">
        <v>302</v>
      </c>
      <c r="B46" s="46" t="s">
        <v>146</v>
      </c>
      <c r="C46" s="46">
        <v>14</v>
      </c>
      <c r="D46" s="46" t="s">
        <v>303</v>
      </c>
      <c r="E46" s="61">
        <f t="shared" si="0"/>
        <v>0.99458022018280356</v>
      </c>
      <c r="F46" s="355"/>
      <c r="G46" s="122"/>
      <c r="J46" s="122"/>
      <c r="Q46" s="93" t="s">
        <v>303</v>
      </c>
      <c r="R46" s="94">
        <v>0.99458022018280356</v>
      </c>
      <c r="S46" s="93" t="s">
        <v>208</v>
      </c>
      <c r="W46" s="37" t="s">
        <v>230</v>
      </c>
      <c r="X46" s="44" t="s">
        <v>147</v>
      </c>
      <c r="Y46" s="44">
        <v>13</v>
      </c>
      <c r="Z46" s="44" t="s">
        <v>231</v>
      </c>
      <c r="AA46" s="70">
        <v>0.82576712904581762</v>
      </c>
    </row>
    <row r="47" spans="1:31" ht="13.8" x14ac:dyDescent="0.3">
      <c r="A47" s="45" t="s">
        <v>392</v>
      </c>
      <c r="B47" s="46" t="s">
        <v>146</v>
      </c>
      <c r="C47" s="46">
        <v>14</v>
      </c>
      <c r="D47" s="46" t="s">
        <v>393</v>
      </c>
      <c r="E47" s="61">
        <f t="shared" si="0"/>
        <v>0.64890043729006908</v>
      </c>
      <c r="F47" s="355"/>
      <c r="G47" s="122"/>
      <c r="I47" s="122"/>
      <c r="J47" s="122"/>
      <c r="Q47" s="93" t="s">
        <v>283</v>
      </c>
      <c r="R47" s="94">
        <v>0.75386351438754873</v>
      </c>
      <c r="S47" s="93" t="s">
        <v>209</v>
      </c>
      <c r="W47" s="37" t="s">
        <v>266</v>
      </c>
      <c r="X47" s="44" t="s">
        <v>146</v>
      </c>
      <c r="Y47" s="44">
        <v>14</v>
      </c>
      <c r="Z47" s="44" t="s">
        <v>267</v>
      </c>
      <c r="AA47" s="70">
        <v>0.81467245298615421</v>
      </c>
    </row>
    <row r="48" spans="1:31" ht="13.8" x14ac:dyDescent="0.3">
      <c r="A48" s="45" t="s">
        <v>248</v>
      </c>
      <c r="B48" s="46" t="s">
        <v>146</v>
      </c>
      <c r="C48" s="46">
        <v>14</v>
      </c>
      <c r="D48" s="46" t="s">
        <v>249</v>
      </c>
      <c r="E48" s="61">
        <f t="shared" si="0"/>
        <v>0.42404692082111439</v>
      </c>
      <c r="F48" s="355"/>
      <c r="G48" s="122"/>
      <c r="I48" s="122"/>
      <c r="J48" s="122"/>
      <c r="Q48" s="93" t="s">
        <v>305</v>
      </c>
      <c r="R48" s="94">
        <v>0.63819230650865855</v>
      </c>
      <c r="S48" s="93" t="s">
        <v>209</v>
      </c>
      <c r="W48" s="37" t="s">
        <v>272</v>
      </c>
      <c r="X48" s="44" t="s">
        <v>146</v>
      </c>
      <c r="Y48" s="44">
        <v>14</v>
      </c>
      <c r="Z48" s="44" t="s">
        <v>273</v>
      </c>
      <c r="AA48" s="70">
        <v>0.79472908539599674</v>
      </c>
    </row>
    <row r="49" spans="1:27" ht="13.8" x14ac:dyDescent="0.3">
      <c r="A49" s="45" t="s">
        <v>294</v>
      </c>
      <c r="B49" s="46" t="s">
        <v>146</v>
      </c>
      <c r="C49" s="46">
        <v>14</v>
      </c>
      <c r="D49" s="46" t="s">
        <v>295</v>
      </c>
      <c r="E49" s="61">
        <f t="shared" si="0"/>
        <v>0.57546119039331711</v>
      </c>
      <c r="F49" s="355"/>
      <c r="G49" s="122"/>
      <c r="I49" s="122"/>
      <c r="J49" s="122"/>
      <c r="Q49" s="93" t="s">
        <v>307</v>
      </c>
      <c r="R49" s="94">
        <v>0.99967400162999187</v>
      </c>
      <c r="S49" s="93" t="s">
        <v>208</v>
      </c>
      <c r="W49" s="37" t="s">
        <v>270</v>
      </c>
      <c r="X49" s="44" t="s">
        <v>147</v>
      </c>
      <c r="Y49" s="44">
        <v>13</v>
      </c>
      <c r="Z49" s="44" t="s">
        <v>271</v>
      </c>
      <c r="AA49" s="70">
        <v>0.78356336260978665</v>
      </c>
    </row>
    <row r="50" spans="1:27" ht="13.8" x14ac:dyDescent="0.3">
      <c r="A50" s="45" t="s">
        <v>379</v>
      </c>
      <c r="B50" s="46" t="s">
        <v>146</v>
      </c>
      <c r="C50" s="46">
        <v>14</v>
      </c>
      <c r="D50" s="46" t="s">
        <v>385</v>
      </c>
      <c r="E50" s="61">
        <f t="shared" si="0"/>
        <v>0.90975829351063098</v>
      </c>
      <c r="F50" s="355"/>
      <c r="G50" s="122"/>
      <c r="I50" s="122"/>
      <c r="J50" s="122"/>
      <c r="Q50" s="93" t="s">
        <v>295</v>
      </c>
      <c r="R50" s="94">
        <v>0.57546119039331711</v>
      </c>
      <c r="S50" s="93" t="s">
        <v>209</v>
      </c>
      <c r="W50" s="37" t="s">
        <v>474</v>
      </c>
      <c r="X50" s="44" t="s">
        <v>167</v>
      </c>
      <c r="Y50" s="44">
        <v>19</v>
      </c>
      <c r="Z50" s="44" t="s">
        <v>471</v>
      </c>
      <c r="AA50" s="70">
        <v>0.77794419936265724</v>
      </c>
    </row>
    <row r="51" spans="1:27" ht="13.8" x14ac:dyDescent="0.3">
      <c r="A51" s="84" t="s">
        <v>399</v>
      </c>
      <c r="B51" s="46" t="s">
        <v>146</v>
      </c>
      <c r="C51" s="46">
        <v>14</v>
      </c>
      <c r="D51" s="46" t="s">
        <v>400</v>
      </c>
      <c r="E51" s="61">
        <f>VLOOKUP($D51,$Q$7:$R$75,2,0)</f>
        <v>0.9915841495030967</v>
      </c>
      <c r="F51" s="355"/>
      <c r="I51" s="122"/>
      <c r="J51" s="122"/>
      <c r="Q51" s="93" t="s">
        <v>438</v>
      </c>
      <c r="R51" s="94">
        <v>0.85164553720066594</v>
      </c>
      <c r="S51" s="93" t="s">
        <v>208</v>
      </c>
      <c r="W51" s="37" t="s">
        <v>357</v>
      </c>
      <c r="X51" s="44" t="s">
        <v>145</v>
      </c>
      <c r="Y51" s="44">
        <v>15</v>
      </c>
      <c r="Z51" s="44" t="s">
        <v>358</v>
      </c>
      <c r="AA51" s="70">
        <v>0.77327600463039525</v>
      </c>
    </row>
    <row r="52" spans="1:27" ht="13.8" x14ac:dyDescent="0.3">
      <c r="A52" s="37" t="s">
        <v>475</v>
      </c>
      <c r="B52" s="44" t="s">
        <v>147</v>
      </c>
      <c r="C52" s="44">
        <v>13</v>
      </c>
      <c r="D52" s="44" t="s">
        <v>458</v>
      </c>
      <c r="E52" s="60">
        <f t="shared" si="0"/>
        <v>0.62875460562079877</v>
      </c>
      <c r="F52" s="355"/>
      <c r="Q52" s="93" t="s">
        <v>309</v>
      </c>
      <c r="R52" s="94">
        <v>0.89259170051200387</v>
      </c>
      <c r="S52" s="93" t="s">
        <v>208</v>
      </c>
      <c r="W52" s="37" t="s">
        <v>282</v>
      </c>
      <c r="X52" s="44" t="s">
        <v>145</v>
      </c>
      <c r="Y52" s="44">
        <v>15</v>
      </c>
      <c r="Z52" s="44" t="s">
        <v>283</v>
      </c>
      <c r="AA52" s="70">
        <v>0.75386351438754873</v>
      </c>
    </row>
    <row r="53" spans="1:27" ht="13.8" x14ac:dyDescent="0.3">
      <c r="A53" s="37" t="s">
        <v>230</v>
      </c>
      <c r="B53" s="44" t="s">
        <v>147</v>
      </c>
      <c r="C53" s="44">
        <v>13</v>
      </c>
      <c r="D53" s="44" t="s">
        <v>231</v>
      </c>
      <c r="E53" s="60">
        <f t="shared" si="0"/>
        <v>0.82576712904581762</v>
      </c>
      <c r="F53" s="355"/>
      <c r="Q53" s="93" t="s">
        <v>287</v>
      </c>
      <c r="R53" s="94">
        <v>0.97501693766937669</v>
      </c>
      <c r="S53" s="93" t="s">
        <v>208</v>
      </c>
      <c r="W53" s="37" t="s">
        <v>268</v>
      </c>
      <c r="X53" s="44" t="s">
        <v>144</v>
      </c>
      <c r="Y53" s="44">
        <v>16</v>
      </c>
      <c r="Z53" s="44" t="s">
        <v>269</v>
      </c>
      <c r="AA53" s="70">
        <v>0.7497019635343618</v>
      </c>
    </row>
    <row r="54" spans="1:27" ht="13.8" x14ac:dyDescent="0.3">
      <c r="A54" s="37" t="s">
        <v>243</v>
      </c>
      <c r="B54" s="44" t="s">
        <v>147</v>
      </c>
      <c r="C54" s="44">
        <v>13</v>
      </c>
      <c r="D54" s="44" t="s">
        <v>244</v>
      </c>
      <c r="E54" s="60">
        <f t="shared" si="0"/>
        <v>0.9427287640364086</v>
      </c>
      <c r="F54" s="355"/>
      <c r="Q54" s="93" t="s">
        <v>393</v>
      </c>
      <c r="R54" s="94">
        <v>0.64890043729006908</v>
      </c>
      <c r="S54" s="93" t="s">
        <v>209</v>
      </c>
      <c r="W54" s="37" t="s">
        <v>418</v>
      </c>
      <c r="X54" s="44" t="s">
        <v>145</v>
      </c>
      <c r="Y54" s="44">
        <v>15</v>
      </c>
      <c r="Z54" s="44" t="s">
        <v>461</v>
      </c>
      <c r="AA54" s="70">
        <v>0.7469877361024081</v>
      </c>
    </row>
    <row r="55" spans="1:27" ht="13.8" x14ac:dyDescent="0.3">
      <c r="A55" s="37" t="s">
        <v>250</v>
      </c>
      <c r="B55" s="44" t="s">
        <v>147</v>
      </c>
      <c r="C55" s="44">
        <v>13</v>
      </c>
      <c r="D55" s="44" t="s">
        <v>251</v>
      </c>
      <c r="E55" s="60">
        <f t="shared" si="0"/>
        <v>0.70643925978729205</v>
      </c>
      <c r="F55" s="355"/>
      <c r="Q55" s="93" t="s">
        <v>291</v>
      </c>
      <c r="R55" s="94">
        <v>1</v>
      </c>
      <c r="S55" s="93" t="s">
        <v>208</v>
      </c>
      <c r="W55" s="37" t="s">
        <v>254</v>
      </c>
      <c r="X55" s="44" t="s">
        <v>146</v>
      </c>
      <c r="Y55" s="44">
        <v>14</v>
      </c>
      <c r="Z55" s="44" t="s">
        <v>255</v>
      </c>
      <c r="AA55" s="70">
        <v>0.72270267536539723</v>
      </c>
    </row>
    <row r="56" spans="1:27" ht="13.8" x14ac:dyDescent="0.3">
      <c r="A56" s="37" t="s">
        <v>261</v>
      </c>
      <c r="B56" s="44" t="s">
        <v>147</v>
      </c>
      <c r="C56" s="44">
        <v>13</v>
      </c>
      <c r="D56" s="44" t="s">
        <v>262</v>
      </c>
      <c r="E56" s="60">
        <f t="shared" si="0"/>
        <v>0.90135028841111697</v>
      </c>
      <c r="F56" s="355"/>
      <c r="Q56" s="93" t="s">
        <v>249</v>
      </c>
      <c r="R56" s="94">
        <v>0.42404692082111439</v>
      </c>
      <c r="S56" s="93" t="s">
        <v>199</v>
      </c>
      <c r="W56" s="37" t="s">
        <v>250</v>
      </c>
      <c r="X56" s="44" t="s">
        <v>147</v>
      </c>
      <c r="Y56" s="44">
        <v>13</v>
      </c>
      <c r="Z56" s="44" t="s">
        <v>251</v>
      </c>
      <c r="AA56" s="70">
        <v>0.70643925978729205</v>
      </c>
    </row>
    <row r="57" spans="1:27" ht="13.8" x14ac:dyDescent="0.3">
      <c r="A57" s="73" t="s">
        <v>473</v>
      </c>
      <c r="B57" s="44" t="s">
        <v>147</v>
      </c>
      <c r="C57" s="44">
        <v>13</v>
      </c>
      <c r="D57" s="44" t="s">
        <v>462</v>
      </c>
      <c r="E57" s="69">
        <f>VLOOKUP($D57,$Q$7:$R$75,2,0)</f>
        <v>0.27216238256230779</v>
      </c>
      <c r="F57" s="355"/>
      <c r="Q57" s="93" t="s">
        <v>466</v>
      </c>
      <c r="R57" s="94">
        <v>0.99417211067658851</v>
      </c>
      <c r="S57" s="93" t="s">
        <v>208</v>
      </c>
      <c r="W57" s="37" t="s">
        <v>280</v>
      </c>
      <c r="X57" s="44" t="s">
        <v>146</v>
      </c>
      <c r="Y57" s="44">
        <v>14</v>
      </c>
      <c r="Z57" s="44" t="s">
        <v>281</v>
      </c>
      <c r="AA57" s="70">
        <v>0.66983442164179108</v>
      </c>
    </row>
    <row r="58" spans="1:27" ht="13.8" x14ac:dyDescent="0.3">
      <c r="A58" s="37" t="s">
        <v>459</v>
      </c>
      <c r="B58" s="44" t="s">
        <v>147</v>
      </c>
      <c r="C58" s="44">
        <v>13</v>
      </c>
      <c r="D58" s="44" t="s">
        <v>460</v>
      </c>
      <c r="E58" s="60" t="s">
        <v>433</v>
      </c>
      <c r="F58" s="355"/>
      <c r="Q58" s="93" t="s">
        <v>358</v>
      </c>
      <c r="R58" s="94">
        <v>0.77327600463039525</v>
      </c>
      <c r="S58" s="93" t="s">
        <v>209</v>
      </c>
      <c r="W58" s="37" t="s">
        <v>405</v>
      </c>
      <c r="X58" s="44" t="s">
        <v>145</v>
      </c>
      <c r="Y58" s="44">
        <v>15</v>
      </c>
      <c r="Z58" s="44" t="s">
        <v>406</v>
      </c>
      <c r="AA58" s="70">
        <v>0.66731657086909912</v>
      </c>
    </row>
    <row r="59" spans="1:27" ht="13.8" x14ac:dyDescent="0.3">
      <c r="A59" s="37" t="s">
        <v>270</v>
      </c>
      <c r="B59" s="44" t="s">
        <v>147</v>
      </c>
      <c r="C59" s="44">
        <v>13</v>
      </c>
      <c r="D59" s="44" t="s">
        <v>271</v>
      </c>
      <c r="E59" s="60">
        <f t="shared" si="0"/>
        <v>0.78356336260978665</v>
      </c>
      <c r="F59" s="355"/>
      <c r="Q59" s="93" t="s">
        <v>299</v>
      </c>
      <c r="R59" s="94">
        <v>0.93000422702993502</v>
      </c>
      <c r="S59" s="93" t="s">
        <v>208</v>
      </c>
      <c r="W59" s="37" t="s">
        <v>392</v>
      </c>
      <c r="X59" s="44" t="s">
        <v>146</v>
      </c>
      <c r="Y59" s="44">
        <v>14</v>
      </c>
      <c r="Z59" s="44" t="s">
        <v>393</v>
      </c>
      <c r="AA59" s="70">
        <v>0.64890043729006908</v>
      </c>
    </row>
    <row r="60" spans="1:27" ht="13.8" x14ac:dyDescent="0.3">
      <c r="A60" s="37" t="s">
        <v>377</v>
      </c>
      <c r="B60" s="44" t="s">
        <v>147</v>
      </c>
      <c r="C60" s="44">
        <v>13</v>
      </c>
      <c r="D60" s="44" t="s">
        <v>378</v>
      </c>
      <c r="E60" s="60">
        <f t="shared" si="0"/>
        <v>1.0293089747728885</v>
      </c>
      <c r="F60" s="355"/>
      <c r="Q60" s="93" t="s">
        <v>297</v>
      </c>
      <c r="R60" s="94">
        <v>0.614337822671156</v>
      </c>
      <c r="S60" s="93" t="s">
        <v>209</v>
      </c>
      <c r="W60" s="37" t="s">
        <v>304</v>
      </c>
      <c r="X60" s="44" t="s">
        <v>147</v>
      </c>
      <c r="Y60" s="44">
        <v>13</v>
      </c>
      <c r="Z60" s="44" t="s">
        <v>305</v>
      </c>
      <c r="AA60" s="70">
        <v>0.63819230650865855</v>
      </c>
    </row>
    <row r="61" spans="1:27" ht="13.8" x14ac:dyDescent="0.3">
      <c r="A61" s="37" t="s">
        <v>292</v>
      </c>
      <c r="B61" s="44" t="s">
        <v>147</v>
      </c>
      <c r="C61" s="44">
        <v>13</v>
      </c>
      <c r="D61" s="44" t="s">
        <v>451</v>
      </c>
      <c r="E61" s="60">
        <f t="shared" si="0"/>
        <v>1</v>
      </c>
      <c r="F61" s="355"/>
      <c r="Q61" s="93" t="s">
        <v>385</v>
      </c>
      <c r="R61" s="94">
        <v>0.90975829351063098</v>
      </c>
      <c r="S61" s="93" t="s">
        <v>208</v>
      </c>
      <c r="W61" s="37" t="s">
        <v>475</v>
      </c>
      <c r="X61" s="44" t="s">
        <v>147</v>
      </c>
      <c r="Y61" s="44">
        <v>13</v>
      </c>
      <c r="Z61" s="44" t="s">
        <v>458</v>
      </c>
      <c r="AA61" s="70">
        <v>0.62875460562079877</v>
      </c>
    </row>
    <row r="62" spans="1:27" ht="13.8" x14ac:dyDescent="0.3">
      <c r="A62" s="37" t="s">
        <v>278</v>
      </c>
      <c r="B62" s="44" t="s">
        <v>147</v>
      </c>
      <c r="C62" s="44">
        <v>13</v>
      </c>
      <c r="D62" s="44" t="s">
        <v>279</v>
      </c>
      <c r="E62" s="60">
        <f t="shared" si="0"/>
        <v>0.58034319753835939</v>
      </c>
      <c r="F62" s="355"/>
      <c r="Q62" s="93" t="s">
        <v>406</v>
      </c>
      <c r="R62" s="94">
        <v>0.66731657086909912</v>
      </c>
      <c r="S62" s="93" t="s">
        <v>209</v>
      </c>
      <c r="W62" s="37" t="s">
        <v>296</v>
      </c>
      <c r="X62" s="44" t="s">
        <v>145</v>
      </c>
      <c r="Y62" s="44">
        <v>15</v>
      </c>
      <c r="Z62" s="44" t="s">
        <v>297</v>
      </c>
      <c r="AA62" s="70">
        <v>0.614337822671156</v>
      </c>
    </row>
    <row r="63" spans="1:27" ht="13.8" x14ac:dyDescent="0.3">
      <c r="A63" s="37" t="s">
        <v>304</v>
      </c>
      <c r="B63" s="44" t="s">
        <v>147</v>
      </c>
      <c r="C63" s="44">
        <v>13</v>
      </c>
      <c r="D63" s="44" t="s">
        <v>305</v>
      </c>
      <c r="E63" s="60">
        <f t="shared" si="0"/>
        <v>0.63819230650865855</v>
      </c>
      <c r="F63" s="355"/>
      <c r="Q63" s="93" t="s">
        <v>400</v>
      </c>
      <c r="R63" s="94">
        <v>0.9915841495030967</v>
      </c>
      <c r="S63" s="93" t="s">
        <v>208</v>
      </c>
      <c r="W63" s="37" t="s">
        <v>274</v>
      </c>
      <c r="X63" s="44" t="s">
        <v>146</v>
      </c>
      <c r="Y63" s="44">
        <v>14</v>
      </c>
      <c r="Z63" s="44" t="s">
        <v>275</v>
      </c>
      <c r="AA63" s="70">
        <v>0.60422936152907691</v>
      </c>
    </row>
    <row r="64" spans="1:27" ht="13.8" x14ac:dyDescent="0.3">
      <c r="A64" s="37" t="s">
        <v>286</v>
      </c>
      <c r="B64" s="44" t="s">
        <v>147</v>
      </c>
      <c r="C64" s="44">
        <v>13</v>
      </c>
      <c r="D64" s="44" t="s">
        <v>287</v>
      </c>
      <c r="E64" s="60">
        <f t="shared" si="0"/>
        <v>0.97501693766937669</v>
      </c>
      <c r="F64" s="355"/>
      <c r="Q64" s="93" t="s">
        <v>469</v>
      </c>
      <c r="R64" s="94">
        <v>0.97028603165787286</v>
      </c>
      <c r="S64" s="93" t="s">
        <v>208</v>
      </c>
      <c r="W64" s="37" t="s">
        <v>371</v>
      </c>
      <c r="X64" s="44" t="s">
        <v>144</v>
      </c>
      <c r="Y64" s="44">
        <v>16</v>
      </c>
      <c r="Z64" s="44" t="s">
        <v>199</v>
      </c>
      <c r="AA64" s="70">
        <v>0.58142655748172922</v>
      </c>
    </row>
    <row r="65" spans="1:27" ht="13.8" x14ac:dyDescent="0.3">
      <c r="A65" s="37" t="s">
        <v>364</v>
      </c>
      <c r="B65" s="44" t="s">
        <v>147</v>
      </c>
      <c r="C65" s="44">
        <v>13</v>
      </c>
      <c r="D65" s="44" t="s">
        <v>365</v>
      </c>
      <c r="E65" s="60">
        <f t="shared" si="0"/>
        <v>1</v>
      </c>
      <c r="F65" s="355"/>
      <c r="Q65" s="93" t="s">
        <v>301</v>
      </c>
      <c r="R65" s="94">
        <v>0.98634859349145065</v>
      </c>
      <c r="S65" s="93" t="s">
        <v>208</v>
      </c>
      <c r="W65" s="37" t="s">
        <v>278</v>
      </c>
      <c r="X65" s="44" t="s">
        <v>147</v>
      </c>
      <c r="Y65" s="44">
        <v>13</v>
      </c>
      <c r="Z65" s="44" t="s">
        <v>279</v>
      </c>
      <c r="AA65" s="70">
        <v>0.58034319753835939</v>
      </c>
    </row>
    <row r="66" spans="1:27" ht="13.8" x14ac:dyDescent="0.3">
      <c r="A66" s="45" t="s">
        <v>310</v>
      </c>
      <c r="B66" s="46" t="s">
        <v>178</v>
      </c>
      <c r="C66" s="46">
        <v>12</v>
      </c>
      <c r="D66" s="46" t="s">
        <v>466</v>
      </c>
      <c r="E66" s="61">
        <f t="shared" si="0"/>
        <v>0.99417211067658851</v>
      </c>
      <c r="F66" s="355"/>
      <c r="Q66" s="93" t="s">
        <v>356</v>
      </c>
      <c r="R66" s="94">
        <v>0.96644084643352246</v>
      </c>
      <c r="S66" s="93" t="s">
        <v>208</v>
      </c>
      <c r="W66" s="37" t="s">
        <v>294</v>
      </c>
      <c r="X66" s="44" t="s">
        <v>146</v>
      </c>
      <c r="Y66" s="44">
        <v>14</v>
      </c>
      <c r="Z66" s="44" t="s">
        <v>295</v>
      </c>
      <c r="AA66" s="70">
        <v>0.57546119039331711</v>
      </c>
    </row>
    <row r="67" spans="1:27" ht="13.8" x14ac:dyDescent="0.3">
      <c r="A67" s="37" t="s">
        <v>421</v>
      </c>
      <c r="B67" s="44" t="s">
        <v>180</v>
      </c>
      <c r="C67" s="44">
        <v>11</v>
      </c>
      <c r="D67" s="44" t="s">
        <v>422</v>
      </c>
      <c r="E67" s="60">
        <f t="shared" si="0"/>
        <v>0.99872589064335693</v>
      </c>
      <c r="F67" s="355"/>
      <c r="Q67" s="93" t="s">
        <v>253</v>
      </c>
      <c r="R67" s="94">
        <v>0.84932154135723226</v>
      </c>
      <c r="S67" s="93" t="s">
        <v>208</v>
      </c>
      <c r="W67" s="37" t="s">
        <v>489</v>
      </c>
      <c r="X67" s="44" t="s">
        <v>171</v>
      </c>
      <c r="Y67" s="44">
        <v>17</v>
      </c>
      <c r="Z67" s="44" t="s">
        <v>246</v>
      </c>
      <c r="AA67" s="70">
        <v>0.55330389203021169</v>
      </c>
    </row>
    <row r="68" spans="1:27" ht="13.8" x14ac:dyDescent="0.3">
      <c r="A68" s="37" t="s">
        <v>308</v>
      </c>
      <c r="B68" s="44" t="s">
        <v>182</v>
      </c>
      <c r="C68" s="44">
        <v>10</v>
      </c>
      <c r="D68" s="44" t="s">
        <v>309</v>
      </c>
      <c r="E68" s="60">
        <f t="shared" si="0"/>
        <v>0.89259170051200387</v>
      </c>
      <c r="F68" s="355"/>
      <c r="G68" s="122"/>
      <c r="Q68" s="93" t="s">
        <v>365</v>
      </c>
      <c r="R68" s="94">
        <v>1</v>
      </c>
      <c r="S68" s="93" t="s">
        <v>208</v>
      </c>
      <c r="W68" s="37" t="s">
        <v>284</v>
      </c>
      <c r="X68" s="44" t="s">
        <v>146</v>
      </c>
      <c r="Y68" s="44">
        <v>14</v>
      </c>
      <c r="Z68" s="44" t="s">
        <v>285</v>
      </c>
      <c r="AA68" s="70">
        <v>0.44575810739314115</v>
      </c>
    </row>
    <row r="69" spans="1:27" ht="14.4" thickBot="1" x14ac:dyDescent="0.35">
      <c r="A69" s="89" t="s">
        <v>381</v>
      </c>
      <c r="B69" s="90" t="s">
        <v>188</v>
      </c>
      <c r="C69" s="90">
        <v>7</v>
      </c>
      <c r="D69" s="90" t="s">
        <v>467</v>
      </c>
      <c r="E69" s="91">
        <f t="shared" ref="E69:E75" si="5">VLOOKUP($D69,$Q$7:$R$75,2,0)</f>
        <v>0.27230062686467099</v>
      </c>
      <c r="F69" s="355"/>
      <c r="Q69" s="93" t="s">
        <v>257</v>
      </c>
      <c r="R69" s="94">
        <v>0.94699999999999995</v>
      </c>
      <c r="S69" s="93" t="s">
        <v>208</v>
      </c>
      <c r="W69" s="37" t="s">
        <v>248</v>
      </c>
      <c r="X69" s="44" t="s">
        <v>146</v>
      </c>
      <c r="Y69" s="44">
        <v>14</v>
      </c>
      <c r="Z69" s="44" t="s">
        <v>249</v>
      </c>
      <c r="AA69" s="70">
        <v>0.42404692082111439</v>
      </c>
    </row>
    <row r="70" spans="1:27" ht="13.8" x14ac:dyDescent="0.3">
      <c r="A70" s="37" t="s">
        <v>474</v>
      </c>
      <c r="B70" s="44" t="s">
        <v>167</v>
      </c>
      <c r="C70" s="44">
        <v>19</v>
      </c>
      <c r="D70" s="44" t="s">
        <v>471</v>
      </c>
      <c r="E70" s="60">
        <f>VLOOKUP($D70,$Q$7:$R$75,2,0)</f>
        <v>0.77794419936265724</v>
      </c>
      <c r="F70" s="355"/>
      <c r="G70" s="122"/>
      <c r="Q70" s="49"/>
      <c r="R70" s="58"/>
      <c r="S70" s="49"/>
      <c r="W70" s="37" t="s">
        <v>276</v>
      </c>
      <c r="X70" s="44" t="s">
        <v>145</v>
      </c>
      <c r="Y70" s="44">
        <v>15</v>
      </c>
      <c r="Z70" s="44" t="s">
        <v>277</v>
      </c>
      <c r="AA70" s="70">
        <v>0.36017814864816144</v>
      </c>
    </row>
    <row r="71" spans="1:27" ht="13.8" x14ac:dyDescent="0.3">
      <c r="A71" s="37" t="s">
        <v>472</v>
      </c>
      <c r="B71" s="44" t="s">
        <v>171</v>
      </c>
      <c r="C71" s="44">
        <v>17</v>
      </c>
      <c r="D71" s="44" t="s">
        <v>463</v>
      </c>
      <c r="E71" s="60">
        <f>VLOOKUP($D71,$Q$7:$R$75,2,0)</f>
        <v>0.87497195036407094</v>
      </c>
      <c r="F71" s="355"/>
      <c r="Q71" s="49"/>
      <c r="R71" s="58"/>
      <c r="S71" s="49"/>
      <c r="W71" s="37" t="s">
        <v>381</v>
      </c>
      <c r="X71" s="44" t="s">
        <v>188</v>
      </c>
      <c r="Y71" s="44">
        <v>7</v>
      </c>
      <c r="Z71" s="44" t="s">
        <v>467</v>
      </c>
      <c r="AA71" s="70">
        <v>0.27230062686467099</v>
      </c>
    </row>
    <row r="72" spans="1:27" ht="13.8" x14ac:dyDescent="0.3">
      <c r="A72" s="37" t="s">
        <v>468</v>
      </c>
      <c r="B72" s="44" t="s">
        <v>178</v>
      </c>
      <c r="C72" s="44">
        <v>12</v>
      </c>
      <c r="D72" s="44" t="s">
        <v>469</v>
      </c>
      <c r="E72" s="69">
        <f>VLOOKUP($D72,$Q$7:$R$75,2,0)</f>
        <v>0.97028603165787286</v>
      </c>
      <c r="F72" s="355"/>
      <c r="Q72" s="49"/>
      <c r="R72" s="58"/>
      <c r="S72" s="49"/>
      <c r="W72" s="37" t="s">
        <v>473</v>
      </c>
      <c r="X72" s="44" t="s">
        <v>147</v>
      </c>
      <c r="Y72" s="44">
        <v>13</v>
      </c>
      <c r="Z72" s="44" t="s">
        <v>462</v>
      </c>
      <c r="AA72" s="70">
        <v>0.27216238256230779</v>
      </c>
    </row>
    <row r="73" spans="1:27" ht="13.8" x14ac:dyDescent="0.3">
      <c r="A73" s="83" t="s">
        <v>434</v>
      </c>
      <c r="B73" s="47" t="s">
        <v>433</v>
      </c>
      <c r="C73" s="47"/>
      <c r="D73" s="44" t="s">
        <v>435</v>
      </c>
      <c r="E73" s="69">
        <f>VLOOKUP($D73,$Q$7:$R$75,2,0)</f>
        <v>0.99675869094774683</v>
      </c>
      <c r="F73" s="5"/>
      <c r="Q73" s="49"/>
      <c r="R73" s="58"/>
      <c r="S73" s="49"/>
      <c r="W73" s="37" t="s">
        <v>434</v>
      </c>
      <c r="X73" s="47" t="s">
        <v>433</v>
      </c>
      <c r="Y73" s="47"/>
      <c r="Z73" s="44" t="s">
        <v>435</v>
      </c>
      <c r="AA73" s="70">
        <v>0.99675869094774683</v>
      </c>
    </row>
    <row r="74" spans="1:27" ht="13.8" x14ac:dyDescent="0.3">
      <c r="A74" s="37" t="s">
        <v>490</v>
      </c>
      <c r="B74" s="47" t="s">
        <v>433</v>
      </c>
      <c r="C74" s="47"/>
      <c r="D74" s="47" t="s">
        <v>486</v>
      </c>
      <c r="E74" s="62">
        <f t="shared" si="5"/>
        <v>0.98237685298627964</v>
      </c>
      <c r="F74" s="5"/>
      <c r="Q74" s="49"/>
      <c r="R74" s="58"/>
      <c r="S74" s="49"/>
      <c r="W74" s="37" t="s">
        <v>490</v>
      </c>
      <c r="X74" s="47" t="s">
        <v>433</v>
      </c>
      <c r="Y74" s="47"/>
      <c r="Z74" s="47" t="s">
        <v>486</v>
      </c>
      <c r="AA74" s="71">
        <v>0.98237685298627964</v>
      </c>
    </row>
    <row r="75" spans="1:27" ht="14.4" thickBot="1" x14ac:dyDescent="0.35">
      <c r="A75" s="53" t="s">
        <v>300</v>
      </c>
      <c r="B75" s="54" t="s">
        <v>433</v>
      </c>
      <c r="C75" s="54"/>
      <c r="D75" s="54" t="s">
        <v>301</v>
      </c>
      <c r="E75" s="63">
        <f t="shared" si="5"/>
        <v>0.98634859349145065</v>
      </c>
      <c r="F75" s="5"/>
      <c r="Q75" s="49"/>
      <c r="R75" s="58"/>
      <c r="S75" s="49"/>
      <c r="W75" s="53" t="s">
        <v>300</v>
      </c>
      <c r="X75" s="54" t="s">
        <v>433</v>
      </c>
      <c r="Y75" s="54"/>
      <c r="Z75" s="54" t="s">
        <v>301</v>
      </c>
      <c r="AA75" s="72">
        <v>0.98634859349145065</v>
      </c>
    </row>
    <row r="76" spans="1:27" ht="13.8" x14ac:dyDescent="0.3">
      <c r="A76" s="41" t="s">
        <v>316</v>
      </c>
      <c r="B76" s="43" t="s">
        <v>146</v>
      </c>
      <c r="C76" s="42">
        <f>AVERAGE(C7:C69)</f>
        <v>14.174603174603174</v>
      </c>
      <c r="D76" s="42"/>
      <c r="E76" s="42"/>
      <c r="F76" s="5"/>
      <c r="Q76" s="49"/>
      <c r="R76" s="59"/>
      <c r="S76" s="49"/>
    </row>
    <row r="77" spans="1:27" x14ac:dyDescent="0.25">
      <c r="A77" s="3"/>
      <c r="B77" s="3"/>
      <c r="F77" s="9"/>
    </row>
    <row r="78" spans="1:27" x14ac:dyDescent="0.25">
      <c r="A78" s="3"/>
      <c r="B78" s="3"/>
      <c r="F78" s="9"/>
    </row>
    <row r="79" spans="1:27" x14ac:dyDescent="0.25">
      <c r="A79" s="48" t="s">
        <v>317</v>
      </c>
      <c r="F79" s="9"/>
      <c r="G79" s="86"/>
    </row>
    <row r="80" spans="1:27" s="86" customFormat="1" x14ac:dyDescent="0.25">
      <c r="A80" s="48" t="s">
        <v>318</v>
      </c>
      <c r="F80" s="87"/>
      <c r="AA80" s="88"/>
    </row>
    <row r="81" spans="1:27" s="86" customFormat="1" x14ac:dyDescent="0.25">
      <c r="A81" s="85" t="s">
        <v>429</v>
      </c>
      <c r="F81" s="87"/>
      <c r="AA81" s="88"/>
    </row>
    <row r="82" spans="1:27" s="86" customFormat="1" x14ac:dyDescent="0.25">
      <c r="A82" s="85" t="s">
        <v>319</v>
      </c>
      <c r="F82" s="87"/>
      <c r="G82"/>
      <c r="AA82" s="88"/>
    </row>
    <row r="83" spans="1:27" x14ac:dyDescent="0.25">
      <c r="A83" s="85" t="s">
        <v>476</v>
      </c>
      <c r="D83" s="9"/>
      <c r="AA83"/>
    </row>
    <row r="84" spans="1:27" x14ac:dyDescent="0.25">
      <c r="A84" s="48" t="s">
        <v>320</v>
      </c>
      <c r="D84" s="9"/>
      <c r="AA84"/>
    </row>
    <row r="85" spans="1:27" x14ac:dyDescent="0.25">
      <c r="A85" s="48" t="s">
        <v>491</v>
      </c>
      <c r="D85" s="9"/>
      <c r="AA85"/>
    </row>
    <row r="86" spans="1:27" x14ac:dyDescent="0.25">
      <c r="A86" s="48" t="s">
        <v>492</v>
      </c>
      <c r="F86" s="9"/>
    </row>
    <row r="87" spans="1:27" x14ac:dyDescent="0.25">
      <c r="A87" s="2"/>
      <c r="E87" s="74"/>
    </row>
    <row r="88" spans="1:27" x14ac:dyDescent="0.25">
      <c r="E88" s="74"/>
    </row>
    <row r="89" spans="1:27" x14ac:dyDescent="0.25">
      <c r="E89" s="75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70C0"/>
    <pageSetUpPr fitToPage="1"/>
  </sheetPr>
  <dimension ref="A1:M83"/>
  <sheetViews>
    <sheetView zoomScale="80" zoomScaleNormal="80" workbookViewId="0">
      <selection activeCell="A7" sqref="A7"/>
    </sheetView>
  </sheetViews>
  <sheetFormatPr defaultColWidth="9.109375" defaultRowHeight="13.2" x14ac:dyDescent="0.25"/>
  <cols>
    <col min="1" max="1" width="35.109375" customWidth="1"/>
    <col min="5" max="5" width="11.5546875" customWidth="1"/>
    <col min="9" max="9" width="11" bestFit="1" customWidth="1"/>
    <col min="10" max="10" width="4.88671875" bestFit="1" customWidth="1"/>
  </cols>
  <sheetData>
    <row r="1" spans="1:13" ht="18" x14ac:dyDescent="0.35">
      <c r="A1" s="40" t="s">
        <v>493</v>
      </c>
    </row>
    <row r="2" spans="1:13" ht="18" x14ac:dyDescent="0.35">
      <c r="A2" s="40"/>
    </row>
    <row r="3" spans="1:13" ht="18" x14ac:dyDescent="0.35">
      <c r="A3" s="40"/>
    </row>
    <row r="4" spans="1:13" ht="18" x14ac:dyDescent="0.35">
      <c r="A4" s="40"/>
    </row>
    <row r="6" spans="1:13" ht="13.8" x14ac:dyDescent="0.3">
      <c r="A6" s="38" t="s">
        <v>217</v>
      </c>
      <c r="B6" s="39" t="s">
        <v>494</v>
      </c>
      <c r="C6" s="14"/>
    </row>
    <row r="7" spans="1:13" ht="14.4" thickBot="1" x14ac:dyDescent="0.35">
      <c r="A7" s="37" t="s">
        <v>441</v>
      </c>
      <c r="B7" s="44" t="s">
        <v>169</v>
      </c>
      <c r="C7" s="44">
        <v>18</v>
      </c>
      <c r="D7" s="355"/>
      <c r="E7" s="57" t="s">
        <v>215</v>
      </c>
      <c r="F7" s="57" t="s">
        <v>139</v>
      </c>
      <c r="G7" s="57" t="s">
        <v>140</v>
      </c>
      <c r="L7" s="122"/>
      <c r="M7" s="122"/>
    </row>
    <row r="8" spans="1:13" ht="13.8" x14ac:dyDescent="0.3">
      <c r="A8" s="37" t="s">
        <v>472</v>
      </c>
      <c r="B8" s="44" t="s">
        <v>171</v>
      </c>
      <c r="C8" s="44">
        <v>17</v>
      </c>
      <c r="D8" s="355"/>
      <c r="E8" s="37" t="s">
        <v>142</v>
      </c>
      <c r="F8" s="49">
        <f>COUNTIF(C$7:C$75,"&gt;16")</f>
        <v>4</v>
      </c>
      <c r="G8" s="50">
        <f>F8/F$14</f>
        <v>6.1538461538461542E-2</v>
      </c>
      <c r="I8" s="122"/>
      <c r="K8" s="122"/>
      <c r="L8" s="122"/>
      <c r="M8" s="122"/>
    </row>
    <row r="9" spans="1:13" ht="13.8" x14ac:dyDescent="0.3">
      <c r="A9" s="37" t="s">
        <v>489</v>
      </c>
      <c r="B9" s="44" t="s">
        <v>171</v>
      </c>
      <c r="C9" s="44">
        <v>17</v>
      </c>
      <c r="D9" s="355"/>
      <c r="E9" s="37" t="s">
        <v>144</v>
      </c>
      <c r="F9" s="49">
        <f>COUNTIF(C$7:C$75,"=16")</f>
        <v>9</v>
      </c>
      <c r="G9" s="50">
        <f t="shared" ref="G9:G14" si="0">F9/F$14</f>
        <v>0.13846153846153847</v>
      </c>
      <c r="I9" s="122"/>
      <c r="K9" s="122"/>
      <c r="L9" s="122"/>
      <c r="M9" s="122"/>
    </row>
    <row r="10" spans="1:13" ht="13.8" x14ac:dyDescent="0.3">
      <c r="A10" s="37" t="s">
        <v>298</v>
      </c>
      <c r="B10" s="44" t="s">
        <v>171</v>
      </c>
      <c r="C10" s="44">
        <v>17</v>
      </c>
      <c r="D10" s="355"/>
      <c r="E10" s="37" t="s">
        <v>145</v>
      </c>
      <c r="F10" s="49">
        <f>COUNTIF(C$7:C$75,"=15")</f>
        <v>13</v>
      </c>
      <c r="G10" s="50">
        <f t="shared" si="0"/>
        <v>0.2</v>
      </c>
      <c r="I10" s="122"/>
      <c r="K10" s="122"/>
      <c r="L10" s="122"/>
      <c r="M10" s="122"/>
    </row>
    <row r="11" spans="1:13" ht="13.8" x14ac:dyDescent="0.3">
      <c r="A11" s="45" t="s">
        <v>232</v>
      </c>
      <c r="B11" s="46" t="s">
        <v>144</v>
      </c>
      <c r="C11" s="46">
        <v>16</v>
      </c>
      <c r="D11" s="355"/>
      <c r="E11" s="37" t="s">
        <v>146</v>
      </c>
      <c r="F11" s="49">
        <f>COUNTIF(C$7:C$75,"=14")</f>
        <v>19</v>
      </c>
      <c r="G11" s="50">
        <f t="shared" si="0"/>
        <v>0.29230769230769232</v>
      </c>
      <c r="I11" s="122"/>
      <c r="K11" s="122"/>
      <c r="L11" s="122"/>
      <c r="M11" s="122"/>
    </row>
    <row r="12" spans="1:13" ht="13.8" x14ac:dyDescent="0.3">
      <c r="A12" s="45" t="s">
        <v>371</v>
      </c>
      <c r="B12" s="46" t="s">
        <v>144</v>
      </c>
      <c r="C12" s="46">
        <v>16</v>
      </c>
      <c r="D12" s="355"/>
      <c r="E12" s="37" t="s">
        <v>147</v>
      </c>
      <c r="F12" s="49">
        <f>COUNTIF(C$7:C$75,"=13")</f>
        <v>14</v>
      </c>
      <c r="G12" s="50">
        <f t="shared" si="0"/>
        <v>0.2153846153846154</v>
      </c>
    </row>
    <row r="13" spans="1:13" ht="14.4" thickBot="1" x14ac:dyDescent="0.35">
      <c r="A13" s="45" t="s">
        <v>268</v>
      </c>
      <c r="B13" s="46" t="s">
        <v>144</v>
      </c>
      <c r="C13" s="46">
        <v>16</v>
      </c>
      <c r="D13" s="355"/>
      <c r="E13" s="53" t="s">
        <v>148</v>
      </c>
      <c r="F13" s="55">
        <f>COUNTIF(C$7:C$75,"&lt;13")</f>
        <v>6</v>
      </c>
      <c r="G13" s="56">
        <f t="shared" si="0"/>
        <v>9.2307692307692313E-2</v>
      </c>
    </row>
    <row r="14" spans="1:13" ht="13.8" x14ac:dyDescent="0.3">
      <c r="A14" s="45" t="s">
        <v>405</v>
      </c>
      <c r="B14" s="46" t="s">
        <v>144</v>
      </c>
      <c r="C14" s="46">
        <v>16</v>
      </c>
      <c r="D14" s="355"/>
      <c r="E14" s="41" t="s">
        <v>149</v>
      </c>
      <c r="F14" s="51">
        <f>SUM(F8:F13)</f>
        <v>65</v>
      </c>
      <c r="G14" s="52">
        <f t="shared" si="0"/>
        <v>1</v>
      </c>
    </row>
    <row r="15" spans="1:13" ht="13.8" x14ac:dyDescent="0.3">
      <c r="A15" s="45" t="s">
        <v>447</v>
      </c>
      <c r="B15" s="46" t="s">
        <v>144</v>
      </c>
      <c r="C15" s="46">
        <v>16</v>
      </c>
      <c r="D15" s="355"/>
      <c r="I15" s="5"/>
    </row>
    <row r="16" spans="1:13" ht="13.8" x14ac:dyDescent="0.3">
      <c r="A16" s="45" t="s">
        <v>418</v>
      </c>
      <c r="B16" s="46" t="s">
        <v>144</v>
      </c>
      <c r="C16" s="46">
        <v>16</v>
      </c>
      <c r="D16" s="355"/>
      <c r="I16" s="5"/>
    </row>
    <row r="17" spans="1:10" ht="13.8" x14ac:dyDescent="0.3">
      <c r="A17" s="45" t="s">
        <v>449</v>
      </c>
      <c r="B17" s="46" t="s">
        <v>144</v>
      </c>
      <c r="C17" s="46">
        <v>16</v>
      </c>
      <c r="D17" s="355"/>
      <c r="I17" s="5"/>
    </row>
    <row r="18" spans="1:10" ht="13.8" x14ac:dyDescent="0.3">
      <c r="A18" s="45" t="s">
        <v>357</v>
      </c>
      <c r="B18" s="46" t="s">
        <v>144</v>
      </c>
      <c r="C18" s="46">
        <v>16</v>
      </c>
      <c r="D18" s="355"/>
      <c r="I18" s="5"/>
    </row>
    <row r="19" spans="1:10" ht="13.8" x14ac:dyDescent="0.3">
      <c r="A19" s="45" t="s">
        <v>355</v>
      </c>
      <c r="B19" s="46" t="s">
        <v>144</v>
      </c>
      <c r="C19" s="46">
        <v>16</v>
      </c>
      <c r="D19" s="355"/>
      <c r="I19" s="5"/>
    </row>
    <row r="20" spans="1:10" ht="13.8" x14ac:dyDescent="0.3">
      <c r="A20" s="37" t="s">
        <v>222</v>
      </c>
      <c r="B20" s="44" t="s">
        <v>145</v>
      </c>
      <c r="C20" s="44">
        <v>15</v>
      </c>
      <c r="D20" s="355"/>
      <c r="I20" s="5"/>
    </row>
    <row r="21" spans="1:10" ht="13.8" x14ac:dyDescent="0.3">
      <c r="A21" s="37" t="s">
        <v>224</v>
      </c>
      <c r="B21" s="44" t="s">
        <v>145</v>
      </c>
      <c r="C21" s="44">
        <v>15</v>
      </c>
      <c r="D21" s="355"/>
    </row>
    <row r="22" spans="1:10" ht="13.8" x14ac:dyDescent="0.3">
      <c r="A22" s="37" t="s">
        <v>470</v>
      </c>
      <c r="B22" s="44" t="s">
        <v>145</v>
      </c>
      <c r="C22" s="44">
        <v>15</v>
      </c>
      <c r="D22" s="355"/>
    </row>
    <row r="23" spans="1:10" ht="13.8" x14ac:dyDescent="0.3">
      <c r="A23" s="37" t="s">
        <v>452</v>
      </c>
      <c r="B23" s="44" t="s">
        <v>145</v>
      </c>
      <c r="C23" s="44">
        <v>15</v>
      </c>
      <c r="D23" s="355"/>
    </row>
    <row r="24" spans="1:10" ht="13.8" x14ac:dyDescent="0.3">
      <c r="A24" s="37" t="s">
        <v>454</v>
      </c>
      <c r="B24" s="44" t="s">
        <v>145</v>
      </c>
      <c r="C24" s="44">
        <v>15</v>
      </c>
      <c r="D24" s="355"/>
    </row>
    <row r="25" spans="1:10" ht="13.8" x14ac:dyDescent="0.3">
      <c r="A25" s="37" t="s">
        <v>276</v>
      </c>
      <c r="B25" s="44" t="s">
        <v>145</v>
      </c>
      <c r="C25" s="44">
        <v>15</v>
      </c>
      <c r="D25" s="355"/>
    </row>
    <row r="26" spans="1:10" ht="13.8" x14ac:dyDescent="0.3">
      <c r="A26" s="37" t="s">
        <v>282</v>
      </c>
      <c r="B26" s="44" t="s">
        <v>145</v>
      </c>
      <c r="C26" s="44">
        <v>15</v>
      </c>
      <c r="D26" s="355"/>
    </row>
    <row r="27" spans="1:10" ht="13.8" x14ac:dyDescent="0.3">
      <c r="A27" s="37" t="s">
        <v>495</v>
      </c>
      <c r="B27" s="44" t="s">
        <v>145</v>
      </c>
      <c r="C27" s="44">
        <v>15</v>
      </c>
      <c r="D27" s="355"/>
    </row>
    <row r="28" spans="1:10" ht="13.8" x14ac:dyDescent="0.3">
      <c r="A28" s="37" t="s">
        <v>290</v>
      </c>
      <c r="B28" s="44" t="s">
        <v>145</v>
      </c>
      <c r="C28" s="44">
        <v>15</v>
      </c>
      <c r="D28" s="355"/>
    </row>
    <row r="29" spans="1:10" ht="13.8" x14ac:dyDescent="0.3">
      <c r="A29" s="37" t="s">
        <v>437</v>
      </c>
      <c r="B29" s="44" t="s">
        <v>145</v>
      </c>
      <c r="C29" s="44">
        <v>15</v>
      </c>
      <c r="D29" s="355"/>
    </row>
    <row r="30" spans="1:10" ht="13.8" x14ac:dyDescent="0.3">
      <c r="A30" s="37" t="s">
        <v>296</v>
      </c>
      <c r="B30" s="44" t="s">
        <v>145</v>
      </c>
      <c r="C30" s="44">
        <v>15</v>
      </c>
      <c r="D30" s="355"/>
    </row>
    <row r="31" spans="1:10" ht="13.8" x14ac:dyDescent="0.3">
      <c r="A31" s="37" t="s">
        <v>252</v>
      </c>
      <c r="B31" s="44" t="s">
        <v>145</v>
      </c>
      <c r="C31" s="44">
        <v>15</v>
      </c>
      <c r="D31" s="355"/>
      <c r="I31" s="122"/>
      <c r="J31" s="122"/>
    </row>
    <row r="32" spans="1:10" ht="13.8" x14ac:dyDescent="0.3">
      <c r="A32" s="37" t="s">
        <v>256</v>
      </c>
      <c r="B32" s="44" t="s">
        <v>145</v>
      </c>
      <c r="C32" s="44">
        <v>15</v>
      </c>
      <c r="D32" s="355"/>
      <c r="J32" s="122"/>
    </row>
    <row r="33" spans="1:10" ht="13.8" x14ac:dyDescent="0.3">
      <c r="A33" s="45" t="s">
        <v>227</v>
      </c>
      <c r="B33" s="46" t="s">
        <v>146</v>
      </c>
      <c r="C33" s="46">
        <v>14</v>
      </c>
      <c r="D33" s="355"/>
      <c r="J33" s="122"/>
    </row>
    <row r="34" spans="1:10" ht="13.8" x14ac:dyDescent="0.3">
      <c r="A34" s="45" t="s">
        <v>254</v>
      </c>
      <c r="B34" s="46" t="s">
        <v>146</v>
      </c>
      <c r="C34" s="46">
        <v>14</v>
      </c>
      <c r="D34" s="355"/>
      <c r="J34" s="122"/>
    </row>
    <row r="35" spans="1:10" ht="13.8" x14ac:dyDescent="0.3">
      <c r="A35" s="45" t="s">
        <v>259</v>
      </c>
      <c r="B35" s="46" t="s">
        <v>146</v>
      </c>
      <c r="C35" s="46">
        <v>14</v>
      </c>
      <c r="D35" s="355"/>
      <c r="E35" s="49" t="s">
        <v>383</v>
      </c>
      <c r="J35" s="122"/>
    </row>
    <row r="36" spans="1:10" ht="13.8" x14ac:dyDescent="0.3">
      <c r="A36" s="45" t="s">
        <v>473</v>
      </c>
      <c r="B36" s="46" t="s">
        <v>146</v>
      </c>
      <c r="C36" s="46">
        <v>14</v>
      </c>
      <c r="D36" s="355"/>
      <c r="F36" s="7"/>
      <c r="G36" s="7"/>
      <c r="J36" s="122"/>
    </row>
    <row r="37" spans="1:10" ht="13.8" x14ac:dyDescent="0.3">
      <c r="A37" s="45" t="s">
        <v>264</v>
      </c>
      <c r="B37" s="46" t="s">
        <v>146</v>
      </c>
      <c r="C37" s="46">
        <v>14</v>
      </c>
      <c r="D37" s="355"/>
      <c r="F37" s="5"/>
      <c r="H37" s="7"/>
    </row>
    <row r="38" spans="1:10" ht="13.8" x14ac:dyDescent="0.3">
      <c r="A38" s="45" t="s">
        <v>266</v>
      </c>
      <c r="B38" s="46" t="s">
        <v>146</v>
      </c>
      <c r="C38" s="46">
        <v>14</v>
      </c>
      <c r="D38" s="355"/>
      <c r="F38" s="5"/>
      <c r="H38" s="8"/>
    </row>
    <row r="39" spans="1:10" ht="13.8" x14ac:dyDescent="0.3">
      <c r="A39" s="45" t="s">
        <v>338</v>
      </c>
      <c r="B39" s="46" t="s">
        <v>146</v>
      </c>
      <c r="C39" s="46">
        <v>14</v>
      </c>
      <c r="D39" s="355"/>
      <c r="F39" s="5"/>
      <c r="H39" s="8"/>
    </row>
    <row r="40" spans="1:10" ht="13.8" x14ac:dyDescent="0.3">
      <c r="A40" s="45" t="s">
        <v>272</v>
      </c>
      <c r="B40" s="46" t="s">
        <v>146</v>
      </c>
      <c r="C40" s="46">
        <v>14</v>
      </c>
      <c r="D40" s="355"/>
      <c r="F40" s="5"/>
      <c r="H40" s="8"/>
    </row>
    <row r="41" spans="1:10" ht="13.8" x14ac:dyDescent="0.3">
      <c r="A41" s="45" t="s">
        <v>274</v>
      </c>
      <c r="B41" s="46" t="s">
        <v>146</v>
      </c>
      <c r="C41" s="46">
        <v>14</v>
      </c>
      <c r="D41" s="355"/>
      <c r="F41" s="5"/>
      <c r="H41" s="8"/>
    </row>
    <row r="42" spans="1:10" ht="13.8" x14ac:dyDescent="0.3">
      <c r="A42" s="45" t="s">
        <v>280</v>
      </c>
      <c r="B42" s="46" t="s">
        <v>146</v>
      </c>
      <c r="C42" s="46">
        <v>14</v>
      </c>
      <c r="D42" s="355"/>
      <c r="F42" s="5"/>
      <c r="H42" s="8"/>
    </row>
    <row r="43" spans="1:10" ht="13.8" x14ac:dyDescent="0.3">
      <c r="A43" s="45" t="s">
        <v>362</v>
      </c>
      <c r="B43" s="46" t="s">
        <v>146</v>
      </c>
      <c r="C43" s="46">
        <v>14</v>
      </c>
      <c r="D43" s="355"/>
    </row>
    <row r="44" spans="1:10" ht="13.8" x14ac:dyDescent="0.3">
      <c r="A44" s="45" t="s">
        <v>456</v>
      </c>
      <c r="B44" s="46" t="s">
        <v>146</v>
      </c>
      <c r="C44" s="46">
        <v>14</v>
      </c>
      <c r="D44" s="355"/>
    </row>
    <row r="45" spans="1:10" ht="13.8" x14ac:dyDescent="0.3">
      <c r="A45" s="45" t="s">
        <v>284</v>
      </c>
      <c r="B45" s="46" t="s">
        <v>146</v>
      </c>
      <c r="C45" s="46">
        <v>14</v>
      </c>
      <c r="D45" s="355"/>
    </row>
    <row r="46" spans="1:10" ht="13.8" x14ac:dyDescent="0.3">
      <c r="A46" s="45" t="s">
        <v>288</v>
      </c>
      <c r="B46" s="46" t="s">
        <v>146</v>
      </c>
      <c r="C46" s="46">
        <v>14</v>
      </c>
      <c r="D46" s="355"/>
      <c r="H46" s="122"/>
    </row>
    <row r="47" spans="1:10" ht="13.8" x14ac:dyDescent="0.3">
      <c r="A47" s="45" t="s">
        <v>404</v>
      </c>
      <c r="B47" s="46" t="s">
        <v>146</v>
      </c>
      <c r="C47" s="46">
        <v>14</v>
      </c>
      <c r="D47" s="355"/>
      <c r="E47" s="122"/>
      <c r="G47" s="122"/>
      <c r="H47" s="122"/>
    </row>
    <row r="48" spans="1:10" ht="13.8" x14ac:dyDescent="0.3">
      <c r="A48" s="45" t="s">
        <v>302</v>
      </c>
      <c r="B48" s="46" t="s">
        <v>146</v>
      </c>
      <c r="C48" s="46">
        <v>14</v>
      </c>
      <c r="D48" s="355"/>
      <c r="E48" s="122"/>
      <c r="G48" s="122"/>
      <c r="H48" s="122"/>
    </row>
    <row r="49" spans="1:8" ht="13.8" x14ac:dyDescent="0.3">
      <c r="A49" s="45" t="s">
        <v>392</v>
      </c>
      <c r="B49" s="46" t="s">
        <v>146</v>
      </c>
      <c r="C49" s="46">
        <v>14</v>
      </c>
      <c r="D49" s="355"/>
      <c r="E49" s="122"/>
      <c r="G49" s="122"/>
      <c r="H49" s="122"/>
    </row>
    <row r="50" spans="1:8" ht="13.8" x14ac:dyDescent="0.3">
      <c r="A50" s="45" t="s">
        <v>248</v>
      </c>
      <c r="B50" s="46" t="s">
        <v>146</v>
      </c>
      <c r="C50" s="46">
        <v>14</v>
      </c>
      <c r="D50" s="355"/>
      <c r="E50" s="122"/>
      <c r="G50" s="122"/>
      <c r="H50" s="122"/>
    </row>
    <row r="51" spans="1:8" ht="13.8" x14ac:dyDescent="0.3">
      <c r="A51" s="45" t="s">
        <v>294</v>
      </c>
      <c r="B51" s="46" t="s">
        <v>146</v>
      </c>
      <c r="C51" s="46">
        <v>14</v>
      </c>
      <c r="D51" s="355"/>
      <c r="E51" s="122"/>
      <c r="G51" s="122"/>
      <c r="H51" s="122"/>
    </row>
    <row r="52" spans="1:8" ht="13.8" x14ac:dyDescent="0.3">
      <c r="A52" s="37" t="s">
        <v>475</v>
      </c>
      <c r="B52" s="44" t="s">
        <v>147</v>
      </c>
      <c r="C52" s="44">
        <v>13</v>
      </c>
      <c r="D52" s="355"/>
    </row>
    <row r="53" spans="1:8" ht="13.8" x14ac:dyDescent="0.3">
      <c r="A53" s="37" t="s">
        <v>230</v>
      </c>
      <c r="B53" s="44" t="s">
        <v>147</v>
      </c>
      <c r="C53" s="44">
        <v>13</v>
      </c>
      <c r="D53" s="355"/>
    </row>
    <row r="54" spans="1:8" ht="13.8" x14ac:dyDescent="0.3">
      <c r="A54" s="37" t="s">
        <v>243</v>
      </c>
      <c r="B54" s="44" t="s">
        <v>147</v>
      </c>
      <c r="C54" s="44">
        <v>13</v>
      </c>
      <c r="D54" s="355"/>
    </row>
    <row r="55" spans="1:8" ht="13.8" x14ac:dyDescent="0.3">
      <c r="A55" s="37" t="s">
        <v>250</v>
      </c>
      <c r="B55" s="44" t="s">
        <v>147</v>
      </c>
      <c r="C55" s="44">
        <v>13</v>
      </c>
      <c r="D55" s="355"/>
    </row>
    <row r="56" spans="1:8" ht="13.8" x14ac:dyDescent="0.3">
      <c r="A56" s="37" t="s">
        <v>261</v>
      </c>
      <c r="B56" s="44" t="s">
        <v>147</v>
      </c>
      <c r="C56" s="44">
        <v>13</v>
      </c>
      <c r="D56" s="355"/>
    </row>
    <row r="57" spans="1:8" ht="13.8" x14ac:dyDescent="0.3">
      <c r="A57" s="37" t="s">
        <v>459</v>
      </c>
      <c r="B57" s="44" t="s">
        <v>147</v>
      </c>
      <c r="C57" s="44">
        <v>13</v>
      </c>
      <c r="D57" s="355"/>
    </row>
    <row r="58" spans="1:8" ht="13.8" x14ac:dyDescent="0.3">
      <c r="A58" s="37" t="s">
        <v>270</v>
      </c>
      <c r="B58" s="44" t="s">
        <v>147</v>
      </c>
      <c r="C58" s="44">
        <v>13</v>
      </c>
      <c r="D58" s="355"/>
    </row>
    <row r="59" spans="1:8" ht="13.8" x14ac:dyDescent="0.3">
      <c r="A59" s="37" t="s">
        <v>377</v>
      </c>
      <c r="B59" s="44" t="s">
        <v>147</v>
      </c>
      <c r="C59" s="44">
        <v>13</v>
      </c>
      <c r="D59" s="355"/>
    </row>
    <row r="60" spans="1:8" ht="13.8" x14ac:dyDescent="0.3">
      <c r="A60" s="37" t="s">
        <v>278</v>
      </c>
      <c r="B60" s="44" t="s">
        <v>147</v>
      </c>
      <c r="C60" s="44">
        <v>13</v>
      </c>
      <c r="D60" s="355"/>
    </row>
    <row r="61" spans="1:8" ht="13.8" x14ac:dyDescent="0.3">
      <c r="A61" s="37" t="s">
        <v>304</v>
      </c>
      <c r="B61" s="44" t="s">
        <v>147</v>
      </c>
      <c r="C61" s="44">
        <v>13</v>
      </c>
      <c r="D61" s="355"/>
    </row>
    <row r="62" spans="1:8" ht="13.8" x14ac:dyDescent="0.3">
      <c r="A62" s="37" t="s">
        <v>286</v>
      </c>
      <c r="B62" s="44" t="s">
        <v>147</v>
      </c>
      <c r="C62" s="44">
        <v>13</v>
      </c>
      <c r="D62" s="355"/>
    </row>
    <row r="63" spans="1:8" ht="13.8" x14ac:dyDescent="0.3">
      <c r="A63" s="37" t="s">
        <v>310</v>
      </c>
      <c r="B63" s="44" t="s">
        <v>147</v>
      </c>
      <c r="C63" s="44">
        <v>13</v>
      </c>
      <c r="D63" s="355"/>
    </row>
    <row r="64" spans="1:8" ht="13.8" x14ac:dyDescent="0.3">
      <c r="A64" s="37" t="s">
        <v>379</v>
      </c>
      <c r="B64" s="44" t="s">
        <v>147</v>
      </c>
      <c r="C64" s="44">
        <v>13</v>
      </c>
      <c r="D64" s="355"/>
    </row>
    <row r="65" spans="1:5" ht="13.8" x14ac:dyDescent="0.3">
      <c r="A65" s="37" t="s">
        <v>364</v>
      </c>
      <c r="B65" s="44" t="s">
        <v>147</v>
      </c>
      <c r="C65" s="44">
        <v>13</v>
      </c>
      <c r="D65" s="355"/>
    </row>
    <row r="66" spans="1:5" ht="13.8" x14ac:dyDescent="0.3">
      <c r="A66" s="45" t="s">
        <v>434</v>
      </c>
      <c r="B66" s="46" t="s">
        <v>178</v>
      </c>
      <c r="C66" s="46">
        <v>12</v>
      </c>
      <c r="D66" s="355"/>
    </row>
    <row r="67" spans="1:5" ht="13.8" x14ac:dyDescent="0.3">
      <c r="A67" s="45" t="s">
        <v>292</v>
      </c>
      <c r="B67" s="46" t="s">
        <v>178</v>
      </c>
      <c r="C67" s="46">
        <v>12</v>
      </c>
      <c r="D67" s="355"/>
    </row>
    <row r="68" spans="1:5" ht="13.8" x14ac:dyDescent="0.3">
      <c r="A68" s="45" t="s">
        <v>468</v>
      </c>
      <c r="B68" s="46" t="s">
        <v>178</v>
      </c>
      <c r="C68" s="46">
        <v>12</v>
      </c>
      <c r="D68" s="355"/>
    </row>
    <row r="69" spans="1:5" ht="13.8" x14ac:dyDescent="0.3">
      <c r="A69" s="37" t="s">
        <v>496</v>
      </c>
      <c r="B69" s="44" t="s">
        <v>180</v>
      </c>
      <c r="C69" s="44">
        <v>11</v>
      </c>
      <c r="D69" s="355"/>
      <c r="E69" s="122"/>
    </row>
    <row r="70" spans="1:5" ht="13.8" x14ac:dyDescent="0.3">
      <c r="A70" s="37" t="s">
        <v>308</v>
      </c>
      <c r="B70" s="44" t="s">
        <v>182</v>
      </c>
      <c r="C70" s="44">
        <v>10</v>
      </c>
      <c r="D70" s="355"/>
    </row>
    <row r="71" spans="1:5" ht="13.8" x14ac:dyDescent="0.3">
      <c r="A71" s="37" t="s">
        <v>381</v>
      </c>
      <c r="B71" s="44" t="s">
        <v>188</v>
      </c>
      <c r="C71" s="44">
        <v>7</v>
      </c>
      <c r="D71" s="355"/>
      <c r="E71" s="122"/>
    </row>
    <row r="72" spans="1:5" ht="13.8" x14ac:dyDescent="0.3">
      <c r="A72" s="37" t="s">
        <v>490</v>
      </c>
      <c r="B72" s="47" t="s">
        <v>497</v>
      </c>
      <c r="C72" s="47"/>
      <c r="D72" s="355"/>
    </row>
    <row r="73" spans="1:5" ht="13.8" x14ac:dyDescent="0.3">
      <c r="A73" s="37" t="s">
        <v>313</v>
      </c>
      <c r="B73" s="47" t="s">
        <v>497</v>
      </c>
      <c r="C73" s="47"/>
      <c r="D73" s="5"/>
    </row>
    <row r="74" spans="1:5" ht="13.8" x14ac:dyDescent="0.3">
      <c r="A74" s="37" t="s">
        <v>399</v>
      </c>
      <c r="B74" s="47" t="s">
        <v>497</v>
      </c>
      <c r="C74" s="47"/>
      <c r="D74" s="5"/>
    </row>
    <row r="75" spans="1:5" ht="14.4" thickBot="1" x14ac:dyDescent="0.35">
      <c r="A75" s="53" t="s">
        <v>300</v>
      </c>
      <c r="B75" s="54" t="s">
        <v>497</v>
      </c>
      <c r="C75" s="54"/>
      <c r="D75" s="5"/>
    </row>
    <row r="76" spans="1:5" ht="13.8" x14ac:dyDescent="0.3">
      <c r="A76" s="41" t="s">
        <v>316</v>
      </c>
      <c r="B76" s="43" t="s">
        <v>146</v>
      </c>
      <c r="C76" s="42">
        <f>AVERAGE(C7:C71)</f>
        <v>14.153846153846153</v>
      </c>
      <c r="D76" s="5"/>
    </row>
    <row r="77" spans="1:5" x14ac:dyDescent="0.25">
      <c r="A77" s="3"/>
      <c r="B77" s="3"/>
      <c r="D77" s="9"/>
    </row>
    <row r="78" spans="1:5" x14ac:dyDescent="0.25">
      <c r="A78" s="3"/>
      <c r="B78" s="3"/>
      <c r="D78" s="9"/>
    </row>
    <row r="79" spans="1:5" x14ac:dyDescent="0.25">
      <c r="A79" s="48" t="s">
        <v>317</v>
      </c>
      <c r="D79" s="9"/>
    </row>
    <row r="80" spans="1:5" x14ac:dyDescent="0.25">
      <c r="A80" s="48" t="s">
        <v>498</v>
      </c>
      <c r="D80" s="9"/>
    </row>
    <row r="81" spans="1:4" x14ac:dyDescent="0.25">
      <c r="A81" s="48" t="s">
        <v>499</v>
      </c>
      <c r="D81" s="9"/>
    </row>
    <row r="82" spans="1:4" x14ac:dyDescent="0.25">
      <c r="A82" s="48" t="s">
        <v>500</v>
      </c>
      <c r="D82" s="9"/>
    </row>
    <row r="83" spans="1:4" x14ac:dyDescent="0.25">
      <c r="A83" s="2"/>
      <c r="D83" s="9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2060"/>
    <pageSetUpPr fitToPage="1"/>
  </sheetPr>
  <dimension ref="A1:M84"/>
  <sheetViews>
    <sheetView zoomScale="80" zoomScaleNormal="80" workbookViewId="0">
      <selection activeCell="A7" sqref="A7"/>
    </sheetView>
  </sheetViews>
  <sheetFormatPr defaultColWidth="9.109375" defaultRowHeight="13.2" x14ac:dyDescent="0.25"/>
  <cols>
    <col min="1" max="1" width="35.109375" customWidth="1"/>
    <col min="5" max="5" width="11.5546875" customWidth="1"/>
    <col min="9" max="9" width="11" bestFit="1" customWidth="1"/>
    <col min="10" max="10" width="4.88671875" bestFit="1" customWidth="1"/>
  </cols>
  <sheetData>
    <row r="1" spans="1:13" ht="18" x14ac:dyDescent="0.35">
      <c r="A1" s="40" t="s">
        <v>501</v>
      </c>
    </row>
    <row r="2" spans="1:13" ht="18" x14ac:dyDescent="0.35">
      <c r="A2" s="40"/>
    </row>
    <row r="3" spans="1:13" ht="18" x14ac:dyDescent="0.35">
      <c r="A3" s="40"/>
    </row>
    <row r="4" spans="1:13" ht="18" x14ac:dyDescent="0.35">
      <c r="A4" s="40"/>
    </row>
    <row r="6" spans="1:13" ht="13.8" x14ac:dyDescent="0.3">
      <c r="A6" s="38" t="s">
        <v>217</v>
      </c>
      <c r="B6" s="39" t="s">
        <v>502</v>
      </c>
      <c r="C6" s="14"/>
    </row>
    <row r="7" spans="1:13" ht="14.4" thickBot="1" x14ac:dyDescent="0.35">
      <c r="A7" s="37" t="s">
        <v>441</v>
      </c>
      <c r="B7" s="44" t="s">
        <v>169</v>
      </c>
      <c r="C7" s="44">
        <v>18</v>
      </c>
      <c r="D7" s="355"/>
      <c r="E7" s="57" t="s">
        <v>215</v>
      </c>
      <c r="F7" s="57" t="s">
        <v>139</v>
      </c>
      <c r="G7" s="57" t="s">
        <v>140</v>
      </c>
      <c r="L7" s="122"/>
      <c r="M7" s="122"/>
    </row>
    <row r="8" spans="1:13" ht="13.8" x14ac:dyDescent="0.3">
      <c r="A8" s="37" t="s">
        <v>472</v>
      </c>
      <c r="B8" s="44" t="s">
        <v>171</v>
      </c>
      <c r="C8" s="44">
        <v>17</v>
      </c>
      <c r="D8" s="355"/>
      <c r="E8" s="37" t="s">
        <v>142</v>
      </c>
      <c r="F8" s="49">
        <f>COUNTIF(C$7:C$76,"&gt;16")</f>
        <v>6</v>
      </c>
      <c r="G8" s="50">
        <f>F8/F$14</f>
        <v>9.0909090909090912E-2</v>
      </c>
      <c r="I8" s="122"/>
      <c r="K8" s="122"/>
      <c r="L8" s="122"/>
      <c r="M8" s="122"/>
    </row>
    <row r="9" spans="1:13" ht="13.8" x14ac:dyDescent="0.3">
      <c r="A9" s="37" t="s">
        <v>232</v>
      </c>
      <c r="B9" s="44" t="s">
        <v>171</v>
      </c>
      <c r="C9" s="44">
        <v>17</v>
      </c>
      <c r="D9" s="355"/>
      <c r="E9" s="37" t="s">
        <v>144</v>
      </c>
      <c r="F9" s="49">
        <f>COUNTIF(C$7:C$76,"=16")</f>
        <v>7</v>
      </c>
      <c r="G9" s="50">
        <f t="shared" ref="G9:G14" si="0">F9/F$14</f>
        <v>0.10606060606060606</v>
      </c>
      <c r="I9" s="122"/>
      <c r="K9" s="122"/>
      <c r="L9" s="122"/>
      <c r="M9" s="122"/>
    </row>
    <row r="10" spans="1:13" ht="13.8" x14ac:dyDescent="0.3">
      <c r="A10" s="37" t="s">
        <v>489</v>
      </c>
      <c r="B10" s="44" t="s">
        <v>171</v>
      </c>
      <c r="C10" s="44">
        <v>17</v>
      </c>
      <c r="D10" s="355"/>
      <c r="E10" s="37" t="s">
        <v>145</v>
      </c>
      <c r="F10" s="49">
        <f>COUNTIF(C$7:C$76,"=15")</f>
        <v>17</v>
      </c>
      <c r="G10" s="50">
        <f t="shared" si="0"/>
        <v>0.25757575757575757</v>
      </c>
      <c r="I10" s="122"/>
      <c r="K10" s="122"/>
      <c r="L10" s="122"/>
      <c r="M10" s="122"/>
    </row>
    <row r="11" spans="1:13" ht="13.8" x14ac:dyDescent="0.3">
      <c r="A11" s="37" t="s">
        <v>449</v>
      </c>
      <c r="B11" s="44" t="s">
        <v>171</v>
      </c>
      <c r="C11" s="44">
        <v>17</v>
      </c>
      <c r="D11" s="355"/>
      <c r="E11" s="37" t="s">
        <v>146</v>
      </c>
      <c r="F11" s="49">
        <f>COUNTIF(C$7:C$76,"=14")</f>
        <v>15</v>
      </c>
      <c r="G11" s="50">
        <f t="shared" si="0"/>
        <v>0.22727272727272727</v>
      </c>
      <c r="I11" s="122"/>
      <c r="K11" s="122"/>
      <c r="L11" s="122"/>
      <c r="M11" s="122"/>
    </row>
    <row r="12" spans="1:13" ht="13.8" x14ac:dyDescent="0.3">
      <c r="A12" s="37" t="s">
        <v>298</v>
      </c>
      <c r="B12" s="44" t="s">
        <v>171</v>
      </c>
      <c r="C12" s="44">
        <v>17</v>
      </c>
      <c r="D12" s="355"/>
      <c r="E12" s="37" t="s">
        <v>147</v>
      </c>
      <c r="F12" s="49">
        <f>COUNTIF(C$7:C$76,"=13")</f>
        <v>13</v>
      </c>
      <c r="G12" s="50">
        <f t="shared" si="0"/>
        <v>0.19696969696969696</v>
      </c>
    </row>
    <row r="13" spans="1:13" ht="14.4" thickBot="1" x14ac:dyDescent="0.35">
      <c r="A13" s="45" t="s">
        <v>371</v>
      </c>
      <c r="B13" s="46" t="s">
        <v>144</v>
      </c>
      <c r="C13" s="46">
        <v>16</v>
      </c>
      <c r="D13" s="355"/>
      <c r="E13" s="53" t="s">
        <v>148</v>
      </c>
      <c r="F13" s="55">
        <f>COUNTIF(C$7:C$76,"&lt;13")</f>
        <v>8</v>
      </c>
      <c r="G13" s="56">
        <f t="shared" si="0"/>
        <v>0.12121212121212122</v>
      </c>
    </row>
    <row r="14" spans="1:13" ht="13.8" x14ac:dyDescent="0.3">
      <c r="A14" s="45" t="s">
        <v>268</v>
      </c>
      <c r="B14" s="46" t="s">
        <v>144</v>
      </c>
      <c r="C14" s="46">
        <v>16</v>
      </c>
      <c r="D14" s="355"/>
      <c r="E14" s="41" t="s">
        <v>149</v>
      </c>
      <c r="F14" s="51">
        <f>SUM(F8:F13)</f>
        <v>66</v>
      </c>
      <c r="G14" s="52">
        <f t="shared" si="0"/>
        <v>1</v>
      </c>
    </row>
    <row r="15" spans="1:13" ht="13.8" x14ac:dyDescent="0.3">
      <c r="A15" s="45" t="s">
        <v>405</v>
      </c>
      <c r="B15" s="46" t="s">
        <v>144</v>
      </c>
      <c r="C15" s="46">
        <v>16</v>
      </c>
      <c r="D15" s="355"/>
      <c r="I15" s="5"/>
    </row>
    <row r="16" spans="1:13" ht="13.8" x14ac:dyDescent="0.3">
      <c r="A16" s="45" t="s">
        <v>447</v>
      </c>
      <c r="B16" s="46" t="s">
        <v>144</v>
      </c>
      <c r="C16" s="46">
        <v>16</v>
      </c>
      <c r="D16" s="355"/>
      <c r="I16" s="5"/>
    </row>
    <row r="17" spans="1:10" ht="13.8" x14ac:dyDescent="0.3">
      <c r="A17" s="45" t="s">
        <v>418</v>
      </c>
      <c r="B17" s="46" t="s">
        <v>144</v>
      </c>
      <c r="C17" s="46">
        <v>16</v>
      </c>
      <c r="D17" s="355"/>
      <c r="I17" s="5"/>
    </row>
    <row r="18" spans="1:10" ht="13.8" x14ac:dyDescent="0.3">
      <c r="A18" s="45" t="s">
        <v>357</v>
      </c>
      <c r="B18" s="46" t="s">
        <v>144</v>
      </c>
      <c r="C18" s="46">
        <v>16</v>
      </c>
      <c r="D18" s="355"/>
      <c r="I18" s="5"/>
    </row>
    <row r="19" spans="1:10" ht="13.8" x14ac:dyDescent="0.3">
      <c r="A19" s="45" t="s">
        <v>355</v>
      </c>
      <c r="B19" s="46" t="s">
        <v>144</v>
      </c>
      <c r="C19" s="46">
        <v>16</v>
      </c>
      <c r="D19" s="355"/>
      <c r="I19" s="5"/>
    </row>
    <row r="20" spans="1:10" ht="13.8" x14ac:dyDescent="0.3">
      <c r="A20" s="37" t="s">
        <v>222</v>
      </c>
      <c r="B20" s="44" t="s">
        <v>145</v>
      </c>
      <c r="C20" s="44">
        <v>15</v>
      </c>
      <c r="D20" s="355"/>
      <c r="I20" s="5"/>
    </row>
    <row r="21" spans="1:10" ht="13.8" x14ac:dyDescent="0.3">
      <c r="A21" s="37" t="s">
        <v>224</v>
      </c>
      <c r="B21" s="44" t="s">
        <v>145</v>
      </c>
      <c r="C21" s="44">
        <v>15</v>
      </c>
      <c r="D21" s="355"/>
    </row>
    <row r="22" spans="1:10" ht="13.8" x14ac:dyDescent="0.3">
      <c r="A22" s="37" t="s">
        <v>473</v>
      </c>
      <c r="B22" s="44" t="s">
        <v>145</v>
      </c>
      <c r="C22" s="44">
        <v>15</v>
      </c>
      <c r="D22" s="355"/>
    </row>
    <row r="23" spans="1:10" ht="13.8" x14ac:dyDescent="0.3">
      <c r="A23" s="37" t="s">
        <v>470</v>
      </c>
      <c r="B23" s="44" t="s">
        <v>145</v>
      </c>
      <c r="C23" s="44">
        <v>15</v>
      </c>
      <c r="D23" s="355"/>
    </row>
    <row r="24" spans="1:10" ht="13.8" x14ac:dyDescent="0.3">
      <c r="A24" s="37" t="s">
        <v>274</v>
      </c>
      <c r="B24" s="44" t="s">
        <v>145</v>
      </c>
      <c r="C24" s="44">
        <v>15</v>
      </c>
      <c r="D24" s="355"/>
    </row>
    <row r="25" spans="1:10" ht="13.8" x14ac:dyDescent="0.3">
      <c r="A25" s="37" t="s">
        <v>288</v>
      </c>
      <c r="B25" s="44" t="s">
        <v>145</v>
      </c>
      <c r="C25" s="44">
        <v>15</v>
      </c>
      <c r="D25" s="355"/>
    </row>
    <row r="26" spans="1:10" ht="13.8" x14ac:dyDescent="0.3">
      <c r="A26" s="37" t="s">
        <v>452</v>
      </c>
      <c r="B26" s="44" t="s">
        <v>145</v>
      </c>
      <c r="C26" s="44">
        <v>15</v>
      </c>
      <c r="D26" s="355"/>
    </row>
    <row r="27" spans="1:10" ht="13.8" x14ac:dyDescent="0.3">
      <c r="A27" s="37" t="s">
        <v>454</v>
      </c>
      <c r="B27" s="44" t="s">
        <v>145</v>
      </c>
      <c r="C27" s="44">
        <v>15</v>
      </c>
      <c r="D27" s="355"/>
    </row>
    <row r="28" spans="1:10" ht="13.8" x14ac:dyDescent="0.3">
      <c r="A28" s="37" t="s">
        <v>276</v>
      </c>
      <c r="B28" s="44" t="s">
        <v>145</v>
      </c>
      <c r="C28" s="44">
        <v>15</v>
      </c>
      <c r="D28" s="355"/>
    </row>
    <row r="29" spans="1:10" ht="13.8" x14ac:dyDescent="0.3">
      <c r="A29" s="37" t="s">
        <v>282</v>
      </c>
      <c r="B29" s="44" t="s">
        <v>145</v>
      </c>
      <c r="C29" s="44">
        <v>15</v>
      </c>
      <c r="D29" s="355"/>
    </row>
    <row r="30" spans="1:10" ht="13.8" x14ac:dyDescent="0.3">
      <c r="A30" s="37" t="s">
        <v>304</v>
      </c>
      <c r="B30" s="44" t="s">
        <v>145</v>
      </c>
      <c r="C30" s="44">
        <v>15</v>
      </c>
      <c r="D30" s="355"/>
    </row>
    <row r="31" spans="1:10" ht="13.8" x14ac:dyDescent="0.3">
      <c r="A31" s="37" t="s">
        <v>495</v>
      </c>
      <c r="B31" s="44" t="s">
        <v>145</v>
      </c>
      <c r="C31" s="44">
        <v>15</v>
      </c>
      <c r="D31" s="355"/>
      <c r="I31" s="122"/>
      <c r="J31" s="122"/>
    </row>
    <row r="32" spans="1:10" ht="13.8" x14ac:dyDescent="0.3">
      <c r="A32" s="37" t="s">
        <v>290</v>
      </c>
      <c r="B32" s="44" t="s">
        <v>145</v>
      </c>
      <c r="C32" s="44">
        <v>15</v>
      </c>
      <c r="D32" s="355"/>
      <c r="J32" s="122"/>
    </row>
    <row r="33" spans="1:10" ht="13.8" x14ac:dyDescent="0.3">
      <c r="A33" s="37" t="s">
        <v>437</v>
      </c>
      <c r="B33" s="44" t="s">
        <v>145</v>
      </c>
      <c r="C33" s="44">
        <v>15</v>
      </c>
      <c r="D33" s="355"/>
      <c r="J33" s="122"/>
    </row>
    <row r="34" spans="1:10" ht="13.8" x14ac:dyDescent="0.3">
      <c r="A34" s="37" t="s">
        <v>296</v>
      </c>
      <c r="B34" s="44" t="s">
        <v>145</v>
      </c>
      <c r="C34" s="44">
        <v>15</v>
      </c>
      <c r="D34" s="355"/>
      <c r="J34" s="122"/>
    </row>
    <row r="35" spans="1:10" ht="13.8" x14ac:dyDescent="0.3">
      <c r="A35" s="37" t="s">
        <v>252</v>
      </c>
      <c r="B35" s="44" t="s">
        <v>145</v>
      </c>
      <c r="C35" s="44">
        <v>15</v>
      </c>
      <c r="D35" s="355"/>
      <c r="E35" s="49" t="s">
        <v>383</v>
      </c>
      <c r="J35" s="122"/>
    </row>
    <row r="36" spans="1:10" ht="13.8" x14ac:dyDescent="0.3">
      <c r="A36" s="37" t="s">
        <v>256</v>
      </c>
      <c r="B36" s="44" t="s">
        <v>145</v>
      </c>
      <c r="C36" s="44">
        <v>15</v>
      </c>
      <c r="D36" s="355"/>
      <c r="F36" s="7"/>
      <c r="G36" s="7"/>
      <c r="J36" s="122"/>
    </row>
    <row r="37" spans="1:10" ht="13.8" x14ac:dyDescent="0.3">
      <c r="A37" s="45" t="s">
        <v>227</v>
      </c>
      <c r="B37" s="46" t="s">
        <v>146</v>
      </c>
      <c r="C37" s="46">
        <v>14</v>
      </c>
      <c r="D37" s="355"/>
      <c r="F37" s="5"/>
      <c r="H37" s="7"/>
    </row>
    <row r="38" spans="1:10" ht="13.8" x14ac:dyDescent="0.3">
      <c r="A38" s="45" t="s">
        <v>254</v>
      </c>
      <c r="B38" s="46" t="s">
        <v>146</v>
      </c>
      <c r="C38" s="46">
        <v>14</v>
      </c>
      <c r="D38" s="355"/>
      <c r="F38" s="5"/>
      <c r="H38" s="8"/>
    </row>
    <row r="39" spans="1:10" ht="13.8" x14ac:dyDescent="0.3">
      <c r="A39" s="45" t="s">
        <v>259</v>
      </c>
      <c r="B39" s="46" t="s">
        <v>146</v>
      </c>
      <c r="C39" s="46">
        <v>14</v>
      </c>
      <c r="D39" s="355"/>
      <c r="F39" s="5"/>
      <c r="H39" s="8"/>
    </row>
    <row r="40" spans="1:10" ht="13.8" x14ac:dyDescent="0.3">
      <c r="A40" s="45" t="s">
        <v>264</v>
      </c>
      <c r="B40" s="46" t="s">
        <v>146</v>
      </c>
      <c r="C40" s="46">
        <v>14</v>
      </c>
      <c r="D40" s="355"/>
      <c r="F40" s="5"/>
      <c r="H40" s="8"/>
    </row>
    <row r="41" spans="1:10" ht="13.8" x14ac:dyDescent="0.3">
      <c r="A41" s="45" t="s">
        <v>266</v>
      </c>
      <c r="B41" s="46" t="s">
        <v>146</v>
      </c>
      <c r="C41" s="46">
        <v>14</v>
      </c>
      <c r="D41" s="355"/>
      <c r="F41" s="5"/>
      <c r="H41" s="8"/>
    </row>
    <row r="42" spans="1:10" ht="13.8" x14ac:dyDescent="0.3">
      <c r="A42" s="45" t="s">
        <v>338</v>
      </c>
      <c r="B42" s="46" t="s">
        <v>146</v>
      </c>
      <c r="C42" s="46">
        <v>14</v>
      </c>
      <c r="D42" s="355"/>
      <c r="F42" s="5"/>
      <c r="H42" s="8"/>
    </row>
    <row r="43" spans="1:10" ht="13.8" x14ac:dyDescent="0.3">
      <c r="A43" s="45" t="s">
        <v>272</v>
      </c>
      <c r="B43" s="46" t="s">
        <v>146</v>
      </c>
      <c r="C43" s="46">
        <v>14</v>
      </c>
      <c r="D43" s="355"/>
    </row>
    <row r="44" spans="1:10" ht="13.8" x14ac:dyDescent="0.3">
      <c r="A44" s="45" t="s">
        <v>280</v>
      </c>
      <c r="B44" s="46" t="s">
        <v>146</v>
      </c>
      <c r="C44" s="46">
        <v>14</v>
      </c>
      <c r="D44" s="355"/>
    </row>
    <row r="45" spans="1:10" ht="13.8" x14ac:dyDescent="0.3">
      <c r="A45" s="45" t="s">
        <v>362</v>
      </c>
      <c r="B45" s="46" t="s">
        <v>146</v>
      </c>
      <c r="C45" s="46">
        <v>14</v>
      </c>
      <c r="D45" s="355"/>
    </row>
    <row r="46" spans="1:10" ht="13.8" x14ac:dyDescent="0.3">
      <c r="A46" s="45" t="s">
        <v>456</v>
      </c>
      <c r="B46" s="46" t="s">
        <v>146</v>
      </c>
      <c r="C46" s="46">
        <v>14</v>
      </c>
      <c r="D46" s="355"/>
      <c r="H46" s="122"/>
    </row>
    <row r="47" spans="1:10" ht="13.8" x14ac:dyDescent="0.3">
      <c r="A47" s="45" t="s">
        <v>284</v>
      </c>
      <c r="B47" s="46" t="s">
        <v>146</v>
      </c>
      <c r="C47" s="46">
        <v>14</v>
      </c>
      <c r="D47" s="355"/>
      <c r="E47" s="122"/>
      <c r="G47" s="122"/>
      <c r="H47" s="122"/>
    </row>
    <row r="48" spans="1:10" ht="13.8" x14ac:dyDescent="0.3">
      <c r="A48" s="45" t="s">
        <v>404</v>
      </c>
      <c r="B48" s="46" t="s">
        <v>146</v>
      </c>
      <c r="C48" s="46">
        <v>14</v>
      </c>
      <c r="D48" s="355"/>
      <c r="E48" s="122"/>
      <c r="G48" s="122"/>
      <c r="H48" s="122"/>
    </row>
    <row r="49" spans="1:8" ht="13.8" x14ac:dyDescent="0.3">
      <c r="A49" s="45" t="s">
        <v>392</v>
      </c>
      <c r="B49" s="46" t="s">
        <v>146</v>
      </c>
      <c r="C49" s="46">
        <v>14</v>
      </c>
      <c r="D49" s="355"/>
      <c r="E49" s="122"/>
      <c r="G49" s="122"/>
      <c r="H49" s="122"/>
    </row>
    <row r="50" spans="1:8" ht="13.8" x14ac:dyDescent="0.3">
      <c r="A50" s="45" t="s">
        <v>248</v>
      </c>
      <c r="B50" s="46" t="s">
        <v>146</v>
      </c>
      <c r="C50" s="46">
        <v>14</v>
      </c>
      <c r="D50" s="355"/>
      <c r="E50" s="122"/>
      <c r="G50" s="122"/>
      <c r="H50" s="122"/>
    </row>
    <row r="51" spans="1:8" ht="13.8" x14ac:dyDescent="0.3">
      <c r="A51" s="45" t="s">
        <v>294</v>
      </c>
      <c r="B51" s="46" t="s">
        <v>146</v>
      </c>
      <c r="C51" s="46">
        <v>14</v>
      </c>
      <c r="D51" s="355"/>
      <c r="E51" s="122"/>
      <c r="G51" s="122"/>
      <c r="H51" s="122"/>
    </row>
    <row r="52" spans="1:8" ht="13.8" x14ac:dyDescent="0.3">
      <c r="A52" s="37" t="s">
        <v>475</v>
      </c>
      <c r="B52" s="44" t="s">
        <v>147</v>
      </c>
      <c r="C52" s="44">
        <v>13</v>
      </c>
      <c r="D52" s="355"/>
    </row>
    <row r="53" spans="1:8" ht="13.8" x14ac:dyDescent="0.3">
      <c r="A53" s="37" t="s">
        <v>230</v>
      </c>
      <c r="B53" s="44" t="s">
        <v>147</v>
      </c>
      <c r="C53" s="44">
        <v>13</v>
      </c>
      <c r="D53" s="355"/>
    </row>
    <row r="54" spans="1:8" ht="13.8" x14ac:dyDescent="0.3">
      <c r="A54" s="37" t="s">
        <v>250</v>
      </c>
      <c r="B54" s="44" t="s">
        <v>147</v>
      </c>
      <c r="C54" s="44">
        <v>13</v>
      </c>
      <c r="D54" s="355"/>
    </row>
    <row r="55" spans="1:8" ht="13.8" x14ac:dyDescent="0.3">
      <c r="A55" s="37" t="s">
        <v>261</v>
      </c>
      <c r="B55" s="44" t="s">
        <v>147</v>
      </c>
      <c r="C55" s="44">
        <v>13</v>
      </c>
      <c r="D55" s="355"/>
    </row>
    <row r="56" spans="1:8" ht="13.8" x14ac:dyDescent="0.3">
      <c r="A56" s="37" t="s">
        <v>459</v>
      </c>
      <c r="B56" s="44" t="s">
        <v>147</v>
      </c>
      <c r="C56" s="44">
        <v>13</v>
      </c>
      <c r="D56" s="355"/>
    </row>
    <row r="57" spans="1:8" ht="13.8" x14ac:dyDescent="0.3">
      <c r="A57" s="37" t="s">
        <v>270</v>
      </c>
      <c r="B57" s="44" t="s">
        <v>147</v>
      </c>
      <c r="C57" s="44">
        <v>13</v>
      </c>
      <c r="D57" s="355"/>
    </row>
    <row r="58" spans="1:8" ht="13.8" x14ac:dyDescent="0.3">
      <c r="A58" s="37" t="s">
        <v>377</v>
      </c>
      <c r="B58" s="44" t="s">
        <v>147</v>
      </c>
      <c r="C58" s="44">
        <v>13</v>
      </c>
      <c r="D58" s="355"/>
    </row>
    <row r="59" spans="1:8" ht="13.8" x14ac:dyDescent="0.3">
      <c r="A59" s="37" t="s">
        <v>278</v>
      </c>
      <c r="B59" s="44" t="s">
        <v>147</v>
      </c>
      <c r="C59" s="44">
        <v>13</v>
      </c>
      <c r="D59" s="355"/>
    </row>
    <row r="60" spans="1:8" ht="13.8" x14ac:dyDescent="0.3">
      <c r="A60" s="37" t="s">
        <v>286</v>
      </c>
      <c r="B60" s="44" t="s">
        <v>147</v>
      </c>
      <c r="C60" s="44">
        <v>13</v>
      </c>
      <c r="D60" s="355"/>
    </row>
    <row r="61" spans="1:8" ht="13.8" x14ac:dyDescent="0.3">
      <c r="A61" s="37" t="s">
        <v>308</v>
      </c>
      <c r="B61" s="44" t="s">
        <v>147</v>
      </c>
      <c r="C61" s="44">
        <v>13</v>
      </c>
      <c r="D61" s="355"/>
    </row>
    <row r="62" spans="1:8" ht="13.8" x14ac:dyDescent="0.3">
      <c r="A62" s="37" t="s">
        <v>310</v>
      </c>
      <c r="B62" s="44" t="s">
        <v>147</v>
      </c>
      <c r="C62" s="44">
        <v>13</v>
      </c>
      <c r="D62" s="355"/>
    </row>
    <row r="63" spans="1:8" ht="13.8" x14ac:dyDescent="0.3">
      <c r="A63" s="37" t="s">
        <v>379</v>
      </c>
      <c r="B63" s="44" t="s">
        <v>147</v>
      </c>
      <c r="C63" s="44">
        <v>13</v>
      </c>
      <c r="D63" s="355"/>
    </row>
    <row r="64" spans="1:8" ht="13.8" x14ac:dyDescent="0.3">
      <c r="A64" s="37" t="s">
        <v>364</v>
      </c>
      <c r="B64" s="44" t="s">
        <v>147</v>
      </c>
      <c r="C64" s="44">
        <v>13</v>
      </c>
      <c r="D64" s="355"/>
    </row>
    <row r="65" spans="1:5" ht="13.8" x14ac:dyDescent="0.3">
      <c r="A65" s="45" t="s">
        <v>243</v>
      </c>
      <c r="B65" s="46" t="s">
        <v>178</v>
      </c>
      <c r="C65" s="46">
        <v>12</v>
      </c>
      <c r="D65" s="355"/>
    </row>
    <row r="66" spans="1:5" ht="13.8" x14ac:dyDescent="0.3">
      <c r="A66" s="45" t="s">
        <v>434</v>
      </c>
      <c r="B66" s="46" t="s">
        <v>178</v>
      </c>
      <c r="C66" s="46">
        <v>12</v>
      </c>
      <c r="D66" s="355"/>
    </row>
    <row r="67" spans="1:5" ht="13.8" x14ac:dyDescent="0.3">
      <c r="A67" s="45" t="s">
        <v>292</v>
      </c>
      <c r="B67" s="46" t="s">
        <v>178</v>
      </c>
      <c r="C67" s="46">
        <v>12</v>
      </c>
      <c r="D67" s="355"/>
    </row>
    <row r="68" spans="1:5" ht="13.8" x14ac:dyDescent="0.3">
      <c r="A68" s="45" t="s">
        <v>302</v>
      </c>
      <c r="B68" s="46" t="s">
        <v>178</v>
      </c>
      <c r="C68" s="46">
        <v>12</v>
      </c>
      <c r="D68" s="355"/>
    </row>
    <row r="69" spans="1:5" ht="13.8" x14ac:dyDescent="0.3">
      <c r="A69" s="37" t="s">
        <v>468</v>
      </c>
      <c r="B69" s="44" t="s">
        <v>180</v>
      </c>
      <c r="C69" s="44">
        <v>11</v>
      </c>
      <c r="D69" s="355"/>
      <c r="E69" s="122"/>
    </row>
    <row r="70" spans="1:5" ht="13.8" x14ac:dyDescent="0.3">
      <c r="A70" s="37" t="s">
        <v>496</v>
      </c>
      <c r="B70" s="44" t="s">
        <v>182</v>
      </c>
      <c r="C70" s="44">
        <v>10</v>
      </c>
      <c r="D70" s="355"/>
    </row>
    <row r="71" spans="1:5" ht="13.8" x14ac:dyDescent="0.3">
      <c r="A71" s="37" t="s">
        <v>503</v>
      </c>
      <c r="B71" s="44" t="s">
        <v>184</v>
      </c>
      <c r="C71" s="44">
        <v>9</v>
      </c>
      <c r="D71" s="355"/>
      <c r="E71" s="122"/>
    </row>
    <row r="72" spans="1:5" ht="13.8" x14ac:dyDescent="0.3">
      <c r="A72" s="37" t="s">
        <v>381</v>
      </c>
      <c r="B72" s="44" t="s">
        <v>188</v>
      </c>
      <c r="C72" s="44">
        <v>7</v>
      </c>
      <c r="D72" s="355"/>
    </row>
    <row r="73" spans="1:5" ht="13.8" x14ac:dyDescent="0.3">
      <c r="A73" s="37" t="s">
        <v>490</v>
      </c>
      <c r="B73" s="47" t="s">
        <v>497</v>
      </c>
      <c r="C73" s="47"/>
      <c r="D73" s="5"/>
    </row>
    <row r="74" spans="1:5" ht="13.8" x14ac:dyDescent="0.3">
      <c r="A74" s="37" t="s">
        <v>313</v>
      </c>
      <c r="B74" s="47" t="s">
        <v>497</v>
      </c>
      <c r="C74" s="47"/>
      <c r="D74" s="5"/>
    </row>
    <row r="75" spans="1:5" ht="13.8" x14ac:dyDescent="0.3">
      <c r="A75" s="37" t="s">
        <v>399</v>
      </c>
      <c r="B75" s="47" t="s">
        <v>497</v>
      </c>
      <c r="C75" s="47"/>
      <c r="D75" s="5"/>
    </row>
    <row r="76" spans="1:5" ht="14.4" thickBot="1" x14ac:dyDescent="0.35">
      <c r="A76" s="53" t="s">
        <v>300</v>
      </c>
      <c r="B76" s="54" t="s">
        <v>497</v>
      </c>
      <c r="C76" s="54"/>
      <c r="D76" s="5"/>
    </row>
    <row r="77" spans="1:5" ht="13.8" x14ac:dyDescent="0.3">
      <c r="A77" s="41" t="s">
        <v>316</v>
      </c>
      <c r="B77" s="43" t="s">
        <v>146</v>
      </c>
      <c r="C77" s="42">
        <f>AVERAGE(C7:C72)</f>
        <v>14.151515151515152</v>
      </c>
      <c r="D77" s="9"/>
    </row>
    <row r="78" spans="1:5" x14ac:dyDescent="0.25">
      <c r="A78" s="3"/>
      <c r="B78" s="3"/>
      <c r="D78" s="9"/>
    </row>
    <row r="79" spans="1:5" x14ac:dyDescent="0.25">
      <c r="A79" s="3"/>
      <c r="B79" s="3"/>
      <c r="D79" s="9"/>
    </row>
    <row r="80" spans="1:5" x14ac:dyDescent="0.25">
      <c r="A80" s="48" t="s">
        <v>317</v>
      </c>
      <c r="D80" s="9"/>
    </row>
    <row r="81" spans="1:4" x14ac:dyDescent="0.25">
      <c r="A81" s="48" t="s">
        <v>504</v>
      </c>
      <c r="D81" s="9"/>
    </row>
    <row r="82" spans="1:4" x14ac:dyDescent="0.25">
      <c r="A82" s="48" t="s">
        <v>505</v>
      </c>
      <c r="D82" s="9"/>
    </row>
    <row r="83" spans="1:4" x14ac:dyDescent="0.25">
      <c r="A83" s="48" t="s">
        <v>506</v>
      </c>
      <c r="D83" s="9"/>
    </row>
    <row r="84" spans="1:4" x14ac:dyDescent="0.25">
      <c r="A84" s="2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  <pageSetUpPr fitToPage="1"/>
  </sheetPr>
  <dimension ref="A1:H84"/>
  <sheetViews>
    <sheetView zoomScale="80" zoomScaleNormal="80" workbookViewId="0">
      <selection activeCell="A7" sqref="A7"/>
    </sheetView>
  </sheetViews>
  <sheetFormatPr defaultColWidth="9.109375" defaultRowHeight="13.2" x14ac:dyDescent="0.25"/>
  <cols>
    <col min="1" max="1" width="37.109375" customWidth="1"/>
    <col min="5" max="5" width="11.5546875" customWidth="1"/>
  </cols>
  <sheetData>
    <row r="1" spans="1:7" ht="17.399999999999999" x14ac:dyDescent="0.3">
      <c r="A1" s="12" t="s">
        <v>507</v>
      </c>
    </row>
    <row r="2" spans="1:7" ht="17.399999999999999" x14ac:dyDescent="0.3">
      <c r="A2" s="12"/>
    </row>
    <row r="3" spans="1:7" ht="17.399999999999999" x14ac:dyDescent="0.3">
      <c r="A3" s="12"/>
    </row>
    <row r="4" spans="1:7" ht="17.399999999999999" x14ac:dyDescent="0.3">
      <c r="A4" s="12"/>
    </row>
    <row r="6" spans="1:7" x14ac:dyDescent="0.25">
      <c r="A6" s="22" t="s">
        <v>217</v>
      </c>
      <c r="B6" s="13">
        <v>2006</v>
      </c>
      <c r="C6" s="14"/>
      <c r="E6" s="11"/>
    </row>
    <row r="7" spans="1:7" x14ac:dyDescent="0.25">
      <c r="A7" s="3" t="s">
        <v>441</v>
      </c>
      <c r="B7" s="3" t="s">
        <v>169</v>
      </c>
      <c r="C7" s="4">
        <v>18</v>
      </c>
      <c r="D7" s="5"/>
      <c r="E7" s="7" t="s">
        <v>215</v>
      </c>
      <c r="F7" s="7" t="s">
        <v>139</v>
      </c>
      <c r="G7" s="7" t="s">
        <v>140</v>
      </c>
    </row>
    <row r="8" spans="1:7" x14ac:dyDescent="0.25">
      <c r="A8" s="3" t="s">
        <v>428</v>
      </c>
      <c r="B8" s="1" t="s">
        <v>171</v>
      </c>
      <c r="C8" s="4">
        <v>17</v>
      </c>
      <c r="D8" s="5"/>
      <c r="E8" s="5" t="s">
        <v>142</v>
      </c>
      <c r="F8">
        <v>8</v>
      </c>
      <c r="G8" s="8">
        <f>F8/F14</f>
        <v>0.12121212121212122</v>
      </c>
    </row>
    <row r="9" spans="1:7" x14ac:dyDescent="0.25">
      <c r="A9" s="3" t="s">
        <v>232</v>
      </c>
      <c r="B9" s="3" t="s">
        <v>171</v>
      </c>
      <c r="C9" s="4">
        <v>17</v>
      </c>
      <c r="D9" s="5"/>
      <c r="E9" s="5" t="s">
        <v>144</v>
      </c>
      <c r="F9">
        <v>3</v>
      </c>
      <c r="G9" s="8">
        <f t="shared" ref="G9:G14" si="0">F9/$F$14</f>
        <v>4.5454545454545456E-2</v>
      </c>
    </row>
    <row r="10" spans="1:7" x14ac:dyDescent="0.25">
      <c r="A10" s="3" t="s">
        <v>489</v>
      </c>
      <c r="B10" s="3" t="s">
        <v>171</v>
      </c>
      <c r="C10" s="4">
        <v>17</v>
      </c>
      <c r="D10" s="5"/>
      <c r="E10" s="5" t="s">
        <v>145</v>
      </c>
      <c r="F10">
        <v>14</v>
      </c>
      <c r="G10" s="8">
        <f t="shared" si="0"/>
        <v>0.21212121212121213</v>
      </c>
    </row>
    <row r="11" spans="1:7" x14ac:dyDescent="0.25">
      <c r="A11" s="3" t="s">
        <v>447</v>
      </c>
      <c r="B11" s="3" t="s">
        <v>171</v>
      </c>
      <c r="C11" s="4">
        <v>17</v>
      </c>
      <c r="D11" s="5"/>
      <c r="E11" s="5" t="s">
        <v>146</v>
      </c>
      <c r="F11">
        <v>23</v>
      </c>
      <c r="G11" s="8">
        <f t="shared" si="0"/>
        <v>0.34848484848484851</v>
      </c>
    </row>
    <row r="12" spans="1:7" x14ac:dyDescent="0.25">
      <c r="A12" s="3" t="s">
        <v>449</v>
      </c>
      <c r="B12" s="3" t="s">
        <v>171</v>
      </c>
      <c r="C12" s="4">
        <v>17</v>
      </c>
      <c r="D12" s="5"/>
      <c r="E12" s="5" t="s">
        <v>147</v>
      </c>
      <c r="F12">
        <v>6</v>
      </c>
      <c r="G12" s="8">
        <f t="shared" si="0"/>
        <v>9.0909090909090912E-2</v>
      </c>
    </row>
    <row r="13" spans="1:7" x14ac:dyDescent="0.25">
      <c r="A13" s="3" t="s">
        <v>298</v>
      </c>
      <c r="B13" s="3" t="s">
        <v>171</v>
      </c>
      <c r="C13" s="4">
        <v>17</v>
      </c>
      <c r="D13" s="5"/>
      <c r="E13" s="5" t="s">
        <v>148</v>
      </c>
      <c r="F13">
        <v>12</v>
      </c>
      <c r="G13" s="8">
        <f t="shared" si="0"/>
        <v>0.18181818181818182</v>
      </c>
    </row>
    <row r="14" spans="1:7" x14ac:dyDescent="0.25">
      <c r="A14" s="3" t="s">
        <v>508</v>
      </c>
      <c r="B14" s="3" t="s">
        <v>171</v>
      </c>
      <c r="C14" s="4">
        <v>17</v>
      </c>
      <c r="D14" s="5"/>
      <c r="E14" s="5" t="s">
        <v>149</v>
      </c>
      <c r="F14">
        <f>SUM(F8:F13)</f>
        <v>66</v>
      </c>
      <c r="G14" s="6">
        <f t="shared" si="0"/>
        <v>1</v>
      </c>
    </row>
    <row r="15" spans="1:7" x14ac:dyDescent="0.25">
      <c r="A15" s="19" t="s">
        <v>418</v>
      </c>
      <c r="B15" s="15" t="s">
        <v>144</v>
      </c>
      <c r="C15" s="16">
        <v>16</v>
      </c>
      <c r="D15" s="5"/>
    </row>
    <row r="16" spans="1:7" x14ac:dyDescent="0.25">
      <c r="A16" s="15" t="s">
        <v>357</v>
      </c>
      <c r="B16" s="15" t="s">
        <v>144</v>
      </c>
      <c r="C16" s="16">
        <v>16</v>
      </c>
      <c r="D16" s="5"/>
    </row>
    <row r="17" spans="1:4" x14ac:dyDescent="0.25">
      <c r="A17" s="15" t="s">
        <v>355</v>
      </c>
      <c r="B17" s="15" t="s">
        <v>144</v>
      </c>
      <c r="C17" s="16">
        <v>16</v>
      </c>
      <c r="D17" s="5"/>
    </row>
    <row r="18" spans="1:4" x14ac:dyDescent="0.25">
      <c r="A18" s="3" t="s">
        <v>222</v>
      </c>
      <c r="B18" s="3" t="s">
        <v>145</v>
      </c>
      <c r="C18" s="4">
        <v>15</v>
      </c>
      <c r="D18" s="5"/>
    </row>
    <row r="19" spans="1:4" x14ac:dyDescent="0.25">
      <c r="A19" s="3" t="s">
        <v>224</v>
      </c>
      <c r="B19" s="3" t="s">
        <v>145</v>
      </c>
      <c r="C19" s="4">
        <v>15</v>
      </c>
      <c r="D19" s="5"/>
    </row>
    <row r="20" spans="1:4" x14ac:dyDescent="0.25">
      <c r="A20" s="3" t="s">
        <v>509</v>
      </c>
      <c r="B20" s="3" t="s">
        <v>145</v>
      </c>
      <c r="C20" s="4">
        <v>15</v>
      </c>
      <c r="D20" s="5"/>
    </row>
    <row r="21" spans="1:4" x14ac:dyDescent="0.25">
      <c r="A21" s="3" t="s">
        <v>470</v>
      </c>
      <c r="B21" s="3" t="s">
        <v>145</v>
      </c>
      <c r="C21" s="4">
        <v>15</v>
      </c>
      <c r="D21" s="5"/>
    </row>
    <row r="22" spans="1:4" x14ac:dyDescent="0.25">
      <c r="A22" s="3" t="s">
        <v>274</v>
      </c>
      <c r="B22" s="3" t="s">
        <v>145</v>
      </c>
      <c r="C22" s="4">
        <v>15</v>
      </c>
      <c r="D22" s="5"/>
    </row>
    <row r="23" spans="1:4" x14ac:dyDescent="0.25">
      <c r="A23" s="3" t="s">
        <v>288</v>
      </c>
      <c r="B23" s="3" t="s">
        <v>145</v>
      </c>
      <c r="C23" s="4">
        <v>15</v>
      </c>
      <c r="D23" s="5"/>
    </row>
    <row r="24" spans="1:4" x14ac:dyDescent="0.25">
      <c r="A24" s="1" t="s">
        <v>510</v>
      </c>
      <c r="B24" s="1" t="s">
        <v>145</v>
      </c>
      <c r="C24" s="4">
        <v>15</v>
      </c>
      <c r="D24" s="5"/>
    </row>
    <row r="25" spans="1:4" x14ac:dyDescent="0.25">
      <c r="A25" s="1" t="s">
        <v>511</v>
      </c>
      <c r="B25" s="1" t="s">
        <v>145</v>
      </c>
      <c r="C25" s="4">
        <v>15</v>
      </c>
      <c r="D25" s="5"/>
    </row>
    <row r="26" spans="1:4" x14ac:dyDescent="0.25">
      <c r="A26" s="18" t="s">
        <v>276</v>
      </c>
      <c r="B26" s="18" t="s">
        <v>145</v>
      </c>
      <c r="C26" s="4">
        <v>15</v>
      </c>
      <c r="D26" s="5"/>
    </row>
    <row r="27" spans="1:4" x14ac:dyDescent="0.25">
      <c r="A27" s="3" t="s">
        <v>282</v>
      </c>
      <c r="B27" s="3" t="s">
        <v>145</v>
      </c>
      <c r="C27" s="4">
        <v>15</v>
      </c>
      <c r="D27" s="5"/>
    </row>
    <row r="28" spans="1:4" x14ac:dyDescent="0.25">
      <c r="A28" s="3" t="s">
        <v>304</v>
      </c>
      <c r="B28" s="3" t="s">
        <v>145</v>
      </c>
      <c r="C28" s="4">
        <v>15</v>
      </c>
      <c r="D28" s="5"/>
    </row>
    <row r="29" spans="1:4" x14ac:dyDescent="0.25">
      <c r="A29" s="3" t="s">
        <v>290</v>
      </c>
      <c r="B29" s="3" t="s">
        <v>145</v>
      </c>
      <c r="C29" s="4">
        <v>15</v>
      </c>
      <c r="D29" s="5"/>
    </row>
    <row r="30" spans="1:4" x14ac:dyDescent="0.25">
      <c r="A30" s="3" t="s">
        <v>296</v>
      </c>
      <c r="B30" s="3" t="s">
        <v>145</v>
      </c>
      <c r="C30" s="4">
        <v>15</v>
      </c>
      <c r="D30" s="5"/>
    </row>
    <row r="31" spans="1:4" x14ac:dyDescent="0.25">
      <c r="A31" s="3" t="s">
        <v>252</v>
      </c>
      <c r="B31" s="3" t="s">
        <v>145</v>
      </c>
      <c r="C31" s="4">
        <v>15</v>
      </c>
      <c r="D31" s="5"/>
    </row>
    <row r="32" spans="1:4" x14ac:dyDescent="0.25">
      <c r="A32" s="15" t="s">
        <v>230</v>
      </c>
      <c r="B32" s="15" t="s">
        <v>146</v>
      </c>
      <c r="C32" s="16">
        <v>14</v>
      </c>
      <c r="D32" s="5"/>
    </row>
    <row r="33" spans="1:8" x14ac:dyDescent="0.25">
      <c r="A33" s="15" t="s">
        <v>512</v>
      </c>
      <c r="B33" s="15" t="s">
        <v>146</v>
      </c>
      <c r="C33" s="16">
        <v>14</v>
      </c>
      <c r="D33" s="5"/>
    </row>
    <row r="34" spans="1:8" x14ac:dyDescent="0.25">
      <c r="A34" s="15" t="s">
        <v>254</v>
      </c>
      <c r="B34" s="15" t="s">
        <v>146</v>
      </c>
      <c r="C34" s="16">
        <v>14</v>
      </c>
      <c r="D34" s="5"/>
    </row>
    <row r="35" spans="1:8" x14ac:dyDescent="0.25">
      <c r="A35" s="15" t="s">
        <v>259</v>
      </c>
      <c r="B35" s="15" t="s">
        <v>146</v>
      </c>
      <c r="C35" s="16">
        <v>14</v>
      </c>
      <c r="D35" s="5"/>
      <c r="E35" s="2" t="s">
        <v>513</v>
      </c>
    </row>
    <row r="36" spans="1:8" x14ac:dyDescent="0.25">
      <c r="A36" s="15" t="s">
        <v>371</v>
      </c>
      <c r="B36" s="19" t="s">
        <v>146</v>
      </c>
      <c r="C36" s="16">
        <v>14</v>
      </c>
      <c r="D36" s="5"/>
    </row>
    <row r="37" spans="1:8" x14ac:dyDescent="0.25">
      <c r="A37" s="15" t="s">
        <v>266</v>
      </c>
      <c r="B37" s="15" t="s">
        <v>146</v>
      </c>
      <c r="C37" s="16">
        <v>14</v>
      </c>
      <c r="D37" s="5"/>
      <c r="F37" s="7"/>
      <c r="G37" s="7"/>
      <c r="H37" s="7"/>
    </row>
    <row r="38" spans="1:8" x14ac:dyDescent="0.25">
      <c r="A38" s="15" t="s">
        <v>268</v>
      </c>
      <c r="B38" s="15" t="s">
        <v>146</v>
      </c>
      <c r="C38" s="16">
        <v>14</v>
      </c>
      <c r="D38" s="5"/>
      <c r="F38" s="5"/>
      <c r="H38" s="8"/>
    </row>
    <row r="39" spans="1:8" x14ac:dyDescent="0.25">
      <c r="A39" s="15" t="s">
        <v>514</v>
      </c>
      <c r="B39" s="15" t="s">
        <v>146</v>
      </c>
      <c r="C39" s="16">
        <v>14</v>
      </c>
      <c r="D39" s="5"/>
      <c r="F39" s="5"/>
      <c r="H39" s="8"/>
    </row>
    <row r="40" spans="1:8" x14ac:dyDescent="0.25">
      <c r="A40" s="15" t="s">
        <v>338</v>
      </c>
      <c r="B40" s="15" t="s">
        <v>146</v>
      </c>
      <c r="C40" s="16">
        <v>14</v>
      </c>
      <c r="D40" s="5"/>
      <c r="F40" s="5"/>
      <c r="H40" s="8"/>
    </row>
    <row r="41" spans="1:8" x14ac:dyDescent="0.25">
      <c r="A41" s="15" t="s">
        <v>272</v>
      </c>
      <c r="B41" s="15" t="s">
        <v>146</v>
      </c>
      <c r="C41" s="16">
        <v>14</v>
      </c>
      <c r="D41" s="5"/>
      <c r="F41" s="5"/>
      <c r="H41" s="8"/>
    </row>
    <row r="42" spans="1:8" x14ac:dyDescent="0.25">
      <c r="A42" s="15" t="s">
        <v>280</v>
      </c>
      <c r="B42" s="15" t="s">
        <v>146</v>
      </c>
      <c r="C42" s="16">
        <v>14</v>
      </c>
      <c r="D42" s="5"/>
      <c r="F42" s="5"/>
      <c r="H42" s="8"/>
    </row>
    <row r="43" spans="1:8" x14ac:dyDescent="0.25">
      <c r="A43" s="15" t="s">
        <v>515</v>
      </c>
      <c r="B43" s="15" t="s">
        <v>146</v>
      </c>
      <c r="C43" s="16">
        <v>14</v>
      </c>
      <c r="D43" s="5"/>
      <c r="F43" s="5"/>
      <c r="H43" s="8"/>
    </row>
    <row r="44" spans="1:8" x14ac:dyDescent="0.25">
      <c r="A44" s="15" t="s">
        <v>456</v>
      </c>
      <c r="B44" s="15" t="s">
        <v>146</v>
      </c>
      <c r="C44" s="16">
        <v>14</v>
      </c>
      <c r="D44" s="5"/>
      <c r="F44" s="5"/>
    </row>
    <row r="45" spans="1:8" x14ac:dyDescent="0.25">
      <c r="A45" s="15" t="s">
        <v>284</v>
      </c>
      <c r="B45" s="15" t="s">
        <v>146</v>
      </c>
      <c r="C45" s="16">
        <v>14</v>
      </c>
      <c r="D45" s="5"/>
    </row>
    <row r="46" spans="1:8" x14ac:dyDescent="0.25">
      <c r="A46" s="15" t="s">
        <v>278</v>
      </c>
      <c r="B46" s="15" t="s">
        <v>146</v>
      </c>
      <c r="C46" s="16">
        <v>14</v>
      </c>
      <c r="D46" s="5"/>
    </row>
    <row r="47" spans="1:8" x14ac:dyDescent="0.25">
      <c r="A47" s="15" t="s">
        <v>404</v>
      </c>
      <c r="B47" s="15" t="s">
        <v>146</v>
      </c>
      <c r="C47" s="16">
        <v>14</v>
      </c>
      <c r="D47" s="5"/>
    </row>
    <row r="48" spans="1:8" x14ac:dyDescent="0.25">
      <c r="A48" s="15" t="s">
        <v>392</v>
      </c>
      <c r="B48" s="15" t="s">
        <v>146</v>
      </c>
      <c r="C48" s="16">
        <v>14</v>
      </c>
      <c r="D48" s="5"/>
    </row>
    <row r="49" spans="1:4" x14ac:dyDescent="0.25">
      <c r="A49" s="15" t="s">
        <v>306</v>
      </c>
      <c r="B49" s="23" t="s">
        <v>146</v>
      </c>
      <c r="C49" s="16">
        <v>14</v>
      </c>
      <c r="D49" s="5"/>
    </row>
    <row r="50" spans="1:4" x14ac:dyDescent="0.25">
      <c r="A50" s="15" t="s">
        <v>308</v>
      </c>
      <c r="B50" s="15" t="s">
        <v>146</v>
      </c>
      <c r="C50" s="16">
        <v>14</v>
      </c>
      <c r="D50" s="5"/>
    </row>
    <row r="51" spans="1:4" x14ac:dyDescent="0.25">
      <c r="A51" s="15" t="s">
        <v>248</v>
      </c>
      <c r="B51" s="15" t="s">
        <v>146</v>
      </c>
      <c r="C51" s="16">
        <v>14</v>
      </c>
      <c r="D51" s="5"/>
    </row>
    <row r="52" spans="1:4" x14ac:dyDescent="0.25">
      <c r="A52" s="15" t="s">
        <v>516</v>
      </c>
      <c r="B52" s="15" t="s">
        <v>146</v>
      </c>
      <c r="C52" s="16">
        <v>14</v>
      </c>
      <c r="D52" s="5"/>
    </row>
    <row r="53" spans="1:4" x14ac:dyDescent="0.25">
      <c r="A53" s="15" t="s">
        <v>294</v>
      </c>
      <c r="B53" s="15" t="s">
        <v>146</v>
      </c>
      <c r="C53" s="16">
        <v>14</v>
      </c>
      <c r="D53" s="5"/>
    </row>
    <row r="54" spans="1:4" x14ac:dyDescent="0.25">
      <c r="A54" s="15" t="s">
        <v>517</v>
      </c>
      <c r="B54" s="15" t="s">
        <v>146</v>
      </c>
      <c r="C54" s="16">
        <v>14</v>
      </c>
      <c r="D54" s="5"/>
    </row>
    <row r="55" spans="1:4" x14ac:dyDescent="0.25">
      <c r="A55" s="3" t="s">
        <v>250</v>
      </c>
      <c r="B55" s="3" t="s">
        <v>147</v>
      </c>
      <c r="C55" s="4">
        <v>13</v>
      </c>
      <c r="D55" s="5"/>
    </row>
    <row r="56" spans="1:4" x14ac:dyDescent="0.25">
      <c r="A56" s="3" t="s">
        <v>270</v>
      </c>
      <c r="B56" s="1" t="s">
        <v>147</v>
      </c>
      <c r="C56" s="4">
        <v>13</v>
      </c>
      <c r="D56" s="5"/>
    </row>
    <row r="57" spans="1:4" x14ac:dyDescent="0.25">
      <c r="A57" s="3" t="s">
        <v>377</v>
      </c>
      <c r="B57" s="3" t="s">
        <v>147</v>
      </c>
      <c r="C57" s="4">
        <v>13</v>
      </c>
      <c r="D57" s="5"/>
    </row>
    <row r="58" spans="1:4" x14ac:dyDescent="0.25">
      <c r="A58" s="3" t="s">
        <v>286</v>
      </c>
      <c r="B58" s="1" t="s">
        <v>147</v>
      </c>
      <c r="C58" s="4">
        <v>13</v>
      </c>
      <c r="D58" s="5"/>
    </row>
    <row r="59" spans="1:4" x14ac:dyDescent="0.25">
      <c r="A59" s="3" t="s">
        <v>310</v>
      </c>
      <c r="B59" s="3" t="s">
        <v>147</v>
      </c>
      <c r="C59" s="4">
        <v>13</v>
      </c>
      <c r="D59" s="5"/>
    </row>
    <row r="60" spans="1:4" x14ac:dyDescent="0.25">
      <c r="A60" s="3" t="s">
        <v>518</v>
      </c>
      <c r="B60" s="3" t="s">
        <v>147</v>
      </c>
      <c r="C60" s="4">
        <v>13</v>
      </c>
      <c r="D60" s="5"/>
    </row>
    <row r="61" spans="1:4" x14ac:dyDescent="0.25">
      <c r="A61" s="15" t="s">
        <v>475</v>
      </c>
      <c r="B61" s="15" t="s">
        <v>178</v>
      </c>
      <c r="C61" s="16">
        <v>12</v>
      </c>
      <c r="D61" s="5"/>
    </row>
    <row r="62" spans="1:4" x14ac:dyDescent="0.25">
      <c r="A62" s="15" t="s">
        <v>243</v>
      </c>
      <c r="B62" s="15" t="s">
        <v>178</v>
      </c>
      <c r="C62" s="16">
        <v>12</v>
      </c>
      <c r="D62" s="5"/>
    </row>
    <row r="63" spans="1:4" x14ac:dyDescent="0.25">
      <c r="A63" s="15" t="s">
        <v>434</v>
      </c>
      <c r="B63" s="15" t="s">
        <v>178</v>
      </c>
      <c r="C63" s="16">
        <v>12</v>
      </c>
      <c r="D63" s="5"/>
    </row>
    <row r="64" spans="1:4" x14ac:dyDescent="0.25">
      <c r="A64" s="15" t="s">
        <v>264</v>
      </c>
      <c r="B64" s="19" t="s">
        <v>178</v>
      </c>
      <c r="C64" s="16">
        <v>12</v>
      </c>
      <c r="D64" s="5"/>
    </row>
    <row r="65" spans="1:4" x14ac:dyDescent="0.25">
      <c r="A65" s="15" t="s">
        <v>292</v>
      </c>
      <c r="B65" s="15" t="s">
        <v>178</v>
      </c>
      <c r="C65" s="16">
        <v>12</v>
      </c>
      <c r="D65" s="5"/>
    </row>
    <row r="66" spans="1:4" x14ac:dyDescent="0.25">
      <c r="A66" s="15" t="s">
        <v>302</v>
      </c>
      <c r="B66" s="15" t="s">
        <v>178</v>
      </c>
      <c r="C66" s="16">
        <v>12</v>
      </c>
      <c r="D66" s="5"/>
    </row>
    <row r="67" spans="1:4" x14ac:dyDescent="0.25">
      <c r="A67" s="15" t="s">
        <v>364</v>
      </c>
      <c r="B67" s="15" t="s">
        <v>178</v>
      </c>
      <c r="C67" s="16">
        <v>12</v>
      </c>
      <c r="D67" s="5"/>
    </row>
    <row r="68" spans="1:4" x14ac:dyDescent="0.25">
      <c r="A68" s="3" t="s">
        <v>261</v>
      </c>
      <c r="B68" s="3" t="s">
        <v>180</v>
      </c>
      <c r="C68" s="4">
        <v>11</v>
      </c>
      <c r="D68" s="5"/>
    </row>
    <row r="69" spans="1:4" x14ac:dyDescent="0.25">
      <c r="A69" s="3" t="s">
        <v>379</v>
      </c>
      <c r="B69" s="3" t="s">
        <v>180</v>
      </c>
      <c r="C69" s="4">
        <v>11</v>
      </c>
      <c r="D69" s="5"/>
    </row>
    <row r="70" spans="1:4" x14ac:dyDescent="0.25">
      <c r="A70" s="3" t="s">
        <v>519</v>
      </c>
      <c r="B70" s="20" t="s">
        <v>180</v>
      </c>
      <c r="C70" s="4">
        <v>11</v>
      </c>
      <c r="D70" s="5"/>
    </row>
    <row r="71" spans="1:4" x14ac:dyDescent="0.25">
      <c r="A71" s="15" t="s">
        <v>496</v>
      </c>
      <c r="B71" s="19" t="s">
        <v>182</v>
      </c>
      <c r="C71" s="16">
        <v>10</v>
      </c>
      <c r="D71" s="5"/>
    </row>
    <row r="72" spans="1:4" x14ac:dyDescent="0.25">
      <c r="A72" s="15" t="s">
        <v>503</v>
      </c>
      <c r="B72" s="19" t="s">
        <v>186</v>
      </c>
      <c r="C72" s="16">
        <v>8</v>
      </c>
      <c r="D72" s="5"/>
    </row>
    <row r="73" spans="1:4" x14ac:dyDescent="0.25">
      <c r="A73" s="3" t="s">
        <v>490</v>
      </c>
      <c r="B73" s="3" t="s">
        <v>315</v>
      </c>
      <c r="C73" s="4" t="s">
        <v>497</v>
      </c>
      <c r="D73" s="5"/>
    </row>
    <row r="74" spans="1:4" x14ac:dyDescent="0.25">
      <c r="A74" s="3" t="s">
        <v>520</v>
      </c>
      <c r="B74" s="3"/>
      <c r="C74" s="4" t="s">
        <v>497</v>
      </c>
      <c r="D74" s="5"/>
    </row>
    <row r="75" spans="1:4" x14ac:dyDescent="0.25">
      <c r="A75" s="3" t="s">
        <v>399</v>
      </c>
      <c r="B75" s="3" t="s">
        <v>315</v>
      </c>
      <c r="C75" s="4" t="s">
        <v>497</v>
      </c>
      <c r="D75" s="5"/>
    </row>
    <row r="76" spans="1:4" x14ac:dyDescent="0.25">
      <c r="A76" s="3" t="s">
        <v>300</v>
      </c>
      <c r="B76" s="3" t="s">
        <v>315</v>
      </c>
      <c r="C76" s="4" t="s">
        <v>497</v>
      </c>
      <c r="D76" s="5"/>
    </row>
    <row r="77" spans="1:4" x14ac:dyDescent="0.25">
      <c r="A77" s="20" t="s">
        <v>316</v>
      </c>
      <c r="B77" s="20" t="s">
        <v>146</v>
      </c>
      <c r="C77" s="21">
        <f>SUM(C7:C72)/66</f>
        <v>14.090909090909092</v>
      </c>
      <c r="D77" s="9"/>
    </row>
    <row r="78" spans="1:4" x14ac:dyDescent="0.25">
      <c r="A78" s="3"/>
      <c r="B78" s="3"/>
      <c r="D78" s="9"/>
    </row>
    <row r="79" spans="1:4" x14ac:dyDescent="0.25">
      <c r="A79" s="2" t="s">
        <v>521</v>
      </c>
      <c r="D79" s="9"/>
    </row>
    <row r="80" spans="1:4" x14ac:dyDescent="0.25">
      <c r="A80" s="1" t="s">
        <v>522</v>
      </c>
      <c r="D80" s="9"/>
    </row>
    <row r="81" spans="1:4" x14ac:dyDescent="0.25">
      <c r="A81" s="2" t="s">
        <v>523</v>
      </c>
      <c r="D81" s="9"/>
    </row>
    <row r="82" spans="1:4" x14ac:dyDescent="0.25">
      <c r="A82" s="2" t="s">
        <v>524</v>
      </c>
      <c r="D82" s="9"/>
    </row>
    <row r="83" spans="1:4" x14ac:dyDescent="0.25">
      <c r="D83" s="9"/>
    </row>
    <row r="84" spans="1:4" x14ac:dyDescent="0.25">
      <c r="A84" s="2" t="s">
        <v>525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G96"/>
  <sheetViews>
    <sheetView zoomScale="80" zoomScaleNormal="80" workbookViewId="0">
      <selection activeCell="A7" sqref="A7"/>
    </sheetView>
  </sheetViews>
  <sheetFormatPr defaultColWidth="9.109375" defaultRowHeight="13.2" x14ac:dyDescent="0.25"/>
  <cols>
    <col min="1" max="1" width="35.109375" customWidth="1"/>
    <col min="3" max="3" width="9.109375" style="4"/>
    <col min="5" max="5" width="11.33203125" customWidth="1"/>
  </cols>
  <sheetData>
    <row r="1" spans="1:7" ht="17.399999999999999" x14ac:dyDescent="0.3">
      <c r="A1" s="12" t="s">
        <v>526</v>
      </c>
    </row>
    <row r="2" spans="1:7" ht="17.399999999999999" x14ac:dyDescent="0.3">
      <c r="A2" s="12"/>
    </row>
    <row r="3" spans="1:7" ht="17.399999999999999" x14ac:dyDescent="0.3">
      <c r="A3" s="12"/>
    </row>
    <row r="4" spans="1:7" ht="17.399999999999999" x14ac:dyDescent="0.3">
      <c r="A4" s="12"/>
    </row>
    <row r="7" spans="1:7" x14ac:dyDescent="0.25">
      <c r="A7" s="24"/>
      <c r="B7" s="11"/>
    </row>
    <row r="8" spans="1:7" x14ac:dyDescent="0.25">
      <c r="A8" s="22" t="s">
        <v>217</v>
      </c>
      <c r="B8" s="17" t="s">
        <v>527</v>
      </c>
      <c r="C8" s="16"/>
      <c r="E8" s="11"/>
    </row>
    <row r="9" spans="1:7" x14ac:dyDescent="0.25">
      <c r="A9" s="9" t="s">
        <v>528</v>
      </c>
      <c r="B9" s="1" t="s">
        <v>169</v>
      </c>
      <c r="C9" s="4">
        <v>18</v>
      </c>
      <c r="E9" s="7" t="s">
        <v>215</v>
      </c>
      <c r="F9" s="7" t="s">
        <v>139</v>
      </c>
      <c r="G9" s="7" t="s">
        <v>140</v>
      </c>
    </row>
    <row r="10" spans="1:7" x14ac:dyDescent="0.25">
      <c r="A10" s="9" t="s">
        <v>529</v>
      </c>
      <c r="B10" s="1" t="s">
        <v>169</v>
      </c>
      <c r="C10" s="4">
        <v>18</v>
      </c>
      <c r="E10" s="5" t="s">
        <v>142</v>
      </c>
      <c r="F10">
        <v>18</v>
      </c>
      <c r="G10" s="6">
        <f>F10/F16</f>
        <v>0.25</v>
      </c>
    </row>
    <row r="11" spans="1:7" x14ac:dyDescent="0.25">
      <c r="A11" s="9" t="s">
        <v>530</v>
      </c>
      <c r="B11" s="1" t="s">
        <v>169</v>
      </c>
      <c r="C11" s="4">
        <v>18</v>
      </c>
      <c r="E11" s="5" t="s">
        <v>144</v>
      </c>
      <c r="F11">
        <v>12</v>
      </c>
      <c r="G11" s="6">
        <f>F11/$F$16</f>
        <v>0.16666666666666666</v>
      </c>
    </row>
    <row r="12" spans="1:7" x14ac:dyDescent="0.25">
      <c r="A12" s="2" t="s">
        <v>531</v>
      </c>
      <c r="B12" s="3" t="s">
        <v>169</v>
      </c>
      <c r="C12" s="4">
        <v>18</v>
      </c>
      <c r="E12" s="5" t="s">
        <v>145</v>
      </c>
      <c r="F12">
        <v>19</v>
      </c>
      <c r="G12" s="6">
        <f>F12/$F$16</f>
        <v>0.2638888888888889</v>
      </c>
    </row>
    <row r="13" spans="1:7" x14ac:dyDescent="0.25">
      <c r="A13" s="9" t="s">
        <v>532</v>
      </c>
      <c r="B13" s="3" t="s">
        <v>169</v>
      </c>
      <c r="C13" s="4">
        <v>18</v>
      </c>
      <c r="E13" s="5" t="s">
        <v>146</v>
      </c>
      <c r="F13">
        <v>10</v>
      </c>
      <c r="G13" s="6">
        <f>F13/$F$16</f>
        <v>0.1388888888888889</v>
      </c>
    </row>
    <row r="14" spans="1:7" x14ac:dyDescent="0.25">
      <c r="A14" s="9" t="s">
        <v>533</v>
      </c>
      <c r="B14" s="1" t="s">
        <v>171</v>
      </c>
      <c r="C14" s="4">
        <v>17</v>
      </c>
      <c r="E14" s="5" t="s">
        <v>147</v>
      </c>
      <c r="F14">
        <v>7</v>
      </c>
      <c r="G14" s="6">
        <f>F14/$F$16</f>
        <v>9.7222222222222224E-2</v>
      </c>
    </row>
    <row r="15" spans="1:7" x14ac:dyDescent="0.25">
      <c r="A15" s="9" t="s">
        <v>534</v>
      </c>
      <c r="B15" s="3" t="s">
        <v>171</v>
      </c>
      <c r="C15" s="4">
        <v>17</v>
      </c>
      <c r="E15" s="5" t="s">
        <v>148</v>
      </c>
      <c r="F15">
        <v>6</v>
      </c>
      <c r="G15" s="6">
        <f>F15/$F$16</f>
        <v>8.3333333333333329E-2</v>
      </c>
    </row>
    <row r="16" spans="1:7" x14ac:dyDescent="0.25">
      <c r="A16" s="9" t="s">
        <v>535</v>
      </c>
      <c r="B16" s="1" t="s">
        <v>171</v>
      </c>
      <c r="C16" s="4">
        <v>17</v>
      </c>
      <c r="E16" s="5" t="s">
        <v>149</v>
      </c>
      <c r="F16">
        <f>SUM(F10:F15)</f>
        <v>72</v>
      </c>
    </row>
    <row r="17" spans="1:7" x14ac:dyDescent="0.25">
      <c r="A17" s="9" t="s">
        <v>441</v>
      </c>
      <c r="B17" s="1" t="s">
        <v>171</v>
      </c>
      <c r="C17" s="4">
        <v>17</v>
      </c>
      <c r="E17" s="5"/>
      <c r="G17" s="6"/>
    </row>
    <row r="18" spans="1:7" x14ac:dyDescent="0.25">
      <c r="A18" s="9" t="s">
        <v>357</v>
      </c>
      <c r="B18" s="3" t="s">
        <v>171</v>
      </c>
      <c r="C18" s="4">
        <v>17</v>
      </c>
      <c r="E18" s="5"/>
      <c r="G18" s="6"/>
    </row>
    <row r="19" spans="1:7" x14ac:dyDescent="0.25">
      <c r="A19" s="9" t="s">
        <v>536</v>
      </c>
      <c r="B19" s="3" t="s">
        <v>171</v>
      </c>
      <c r="C19" s="4">
        <v>17</v>
      </c>
      <c r="E19" s="5"/>
      <c r="G19" s="6"/>
    </row>
    <row r="20" spans="1:7" x14ac:dyDescent="0.25">
      <c r="A20" s="9" t="s">
        <v>537</v>
      </c>
      <c r="B20" s="1" t="s">
        <v>171</v>
      </c>
      <c r="C20" s="4">
        <v>17</v>
      </c>
      <c r="E20" s="5"/>
      <c r="G20" s="6"/>
    </row>
    <row r="21" spans="1:7" x14ac:dyDescent="0.25">
      <c r="A21" s="9" t="s">
        <v>538</v>
      </c>
      <c r="B21" s="20" t="s">
        <v>171</v>
      </c>
      <c r="C21" s="4">
        <v>17</v>
      </c>
      <c r="E21" s="5"/>
    </row>
    <row r="22" spans="1:7" x14ac:dyDescent="0.25">
      <c r="A22" s="9" t="s">
        <v>539</v>
      </c>
      <c r="B22" s="1" t="s">
        <v>171</v>
      </c>
      <c r="C22" s="4">
        <v>17</v>
      </c>
    </row>
    <row r="23" spans="1:7" x14ac:dyDescent="0.25">
      <c r="A23" s="9" t="s">
        <v>540</v>
      </c>
      <c r="B23" s="1" t="s">
        <v>171</v>
      </c>
      <c r="C23" s="4">
        <v>17</v>
      </c>
    </row>
    <row r="24" spans="1:7" x14ac:dyDescent="0.25">
      <c r="A24" s="9" t="s">
        <v>296</v>
      </c>
      <c r="B24" s="3" t="s">
        <v>171</v>
      </c>
      <c r="C24" s="4">
        <v>17</v>
      </c>
    </row>
    <row r="25" spans="1:7" x14ac:dyDescent="0.25">
      <c r="A25" s="9" t="s">
        <v>541</v>
      </c>
      <c r="B25" s="3" t="s">
        <v>171</v>
      </c>
      <c r="C25" s="4">
        <v>17</v>
      </c>
    </row>
    <row r="26" spans="1:7" x14ac:dyDescent="0.25">
      <c r="A26" s="9" t="s">
        <v>542</v>
      </c>
      <c r="B26" s="1" t="s">
        <v>171</v>
      </c>
      <c r="C26" s="4">
        <v>17</v>
      </c>
    </row>
    <row r="27" spans="1:7" x14ac:dyDescent="0.25">
      <c r="A27" s="25" t="s">
        <v>543</v>
      </c>
      <c r="B27" s="19" t="s">
        <v>144</v>
      </c>
      <c r="C27" s="16">
        <v>16</v>
      </c>
    </row>
    <row r="28" spans="1:7" x14ac:dyDescent="0.25">
      <c r="A28" s="25" t="s">
        <v>544</v>
      </c>
      <c r="B28" s="19" t="s">
        <v>144</v>
      </c>
      <c r="C28" s="16">
        <v>16</v>
      </c>
    </row>
    <row r="29" spans="1:7" x14ac:dyDescent="0.25">
      <c r="A29" s="25" t="s">
        <v>545</v>
      </c>
      <c r="B29" s="19" t="s">
        <v>144</v>
      </c>
      <c r="C29" s="16">
        <v>16</v>
      </c>
    </row>
    <row r="30" spans="1:7" x14ac:dyDescent="0.25">
      <c r="A30" s="26" t="s">
        <v>546</v>
      </c>
      <c r="B30" s="15" t="s">
        <v>144</v>
      </c>
      <c r="C30" s="16">
        <v>16</v>
      </c>
    </row>
    <row r="31" spans="1:7" x14ac:dyDescent="0.25">
      <c r="A31" s="26" t="s">
        <v>547</v>
      </c>
      <c r="B31" s="15" t="s">
        <v>144</v>
      </c>
      <c r="C31" s="16">
        <v>16</v>
      </c>
    </row>
    <row r="32" spans="1:7" x14ac:dyDescent="0.25">
      <c r="A32" s="25" t="s">
        <v>548</v>
      </c>
      <c r="B32" s="19" t="s">
        <v>144</v>
      </c>
      <c r="C32" s="16">
        <v>16</v>
      </c>
    </row>
    <row r="33" spans="1:5" x14ac:dyDescent="0.25">
      <c r="A33" s="25" t="s">
        <v>549</v>
      </c>
      <c r="B33" s="15" t="s">
        <v>144</v>
      </c>
      <c r="C33" s="16">
        <v>16</v>
      </c>
    </row>
    <row r="34" spans="1:5" x14ac:dyDescent="0.25">
      <c r="A34" s="25" t="s">
        <v>550</v>
      </c>
      <c r="B34" s="15" t="s">
        <v>144</v>
      </c>
      <c r="C34" s="16">
        <v>16</v>
      </c>
    </row>
    <row r="35" spans="1:5" x14ac:dyDescent="0.25">
      <c r="A35" s="25" t="s">
        <v>551</v>
      </c>
      <c r="B35" s="19" t="s">
        <v>144</v>
      </c>
      <c r="C35" s="16">
        <v>16</v>
      </c>
    </row>
    <row r="36" spans="1:5" x14ac:dyDescent="0.25">
      <c r="A36" s="25" t="s">
        <v>552</v>
      </c>
      <c r="B36" s="19" t="s">
        <v>144</v>
      </c>
      <c r="C36" s="16">
        <v>16</v>
      </c>
    </row>
    <row r="37" spans="1:5" x14ac:dyDescent="0.25">
      <c r="A37" s="25" t="s">
        <v>553</v>
      </c>
      <c r="B37" s="19" t="s">
        <v>144</v>
      </c>
      <c r="C37" s="16">
        <v>16</v>
      </c>
    </row>
    <row r="38" spans="1:5" x14ac:dyDescent="0.25">
      <c r="A38" s="25" t="s">
        <v>554</v>
      </c>
      <c r="B38" s="23" t="s">
        <v>144</v>
      </c>
      <c r="C38" s="16">
        <v>16</v>
      </c>
    </row>
    <row r="39" spans="1:5" x14ac:dyDescent="0.25">
      <c r="A39" s="9" t="s">
        <v>555</v>
      </c>
      <c r="B39" s="1" t="s">
        <v>145</v>
      </c>
      <c r="C39" s="4">
        <v>15</v>
      </c>
    </row>
    <row r="40" spans="1:5" x14ac:dyDescent="0.25">
      <c r="A40" s="9" t="s">
        <v>254</v>
      </c>
      <c r="B40" s="1" t="s">
        <v>145</v>
      </c>
      <c r="C40" s="4">
        <v>15</v>
      </c>
      <c r="E40" s="2" t="s">
        <v>556</v>
      </c>
    </row>
    <row r="41" spans="1:5" x14ac:dyDescent="0.25">
      <c r="A41" s="9" t="s">
        <v>557</v>
      </c>
      <c r="B41" s="3" t="s">
        <v>145</v>
      </c>
      <c r="C41" s="4">
        <v>15</v>
      </c>
    </row>
    <row r="42" spans="1:5" x14ac:dyDescent="0.25">
      <c r="A42" s="9" t="s">
        <v>259</v>
      </c>
      <c r="B42" s="1" t="s">
        <v>145</v>
      </c>
      <c r="C42" s="4">
        <v>15</v>
      </c>
    </row>
    <row r="43" spans="1:5" x14ac:dyDescent="0.25">
      <c r="A43" s="9" t="s">
        <v>558</v>
      </c>
      <c r="B43" s="1" t="s">
        <v>145</v>
      </c>
      <c r="C43" s="4">
        <v>15</v>
      </c>
    </row>
    <row r="44" spans="1:5" x14ac:dyDescent="0.25">
      <c r="A44" s="9" t="s">
        <v>559</v>
      </c>
      <c r="B44" s="3" t="s">
        <v>145</v>
      </c>
      <c r="C44" s="4">
        <v>15</v>
      </c>
      <c r="E44" s="2"/>
    </row>
    <row r="45" spans="1:5" x14ac:dyDescent="0.25">
      <c r="A45" s="9" t="s">
        <v>264</v>
      </c>
      <c r="B45" s="1" t="s">
        <v>145</v>
      </c>
      <c r="C45" s="4">
        <v>15</v>
      </c>
    </row>
    <row r="46" spans="1:5" x14ac:dyDescent="0.25">
      <c r="A46" s="9" t="s">
        <v>460</v>
      </c>
      <c r="B46" s="1" t="s">
        <v>145</v>
      </c>
      <c r="C46" s="4">
        <v>15</v>
      </c>
    </row>
    <row r="47" spans="1:5" x14ac:dyDescent="0.25">
      <c r="A47" s="9" t="s">
        <v>560</v>
      </c>
      <c r="B47" s="1" t="s">
        <v>145</v>
      </c>
      <c r="C47" s="4">
        <v>15</v>
      </c>
    </row>
    <row r="48" spans="1:5" x14ac:dyDescent="0.25">
      <c r="A48" s="9" t="s">
        <v>561</v>
      </c>
      <c r="B48" s="3" t="s">
        <v>145</v>
      </c>
      <c r="C48" s="4">
        <v>15</v>
      </c>
    </row>
    <row r="49" spans="1:3" x14ac:dyDescent="0.25">
      <c r="A49" s="9" t="s">
        <v>562</v>
      </c>
      <c r="B49" s="1" t="s">
        <v>145</v>
      </c>
      <c r="C49" s="4">
        <v>15</v>
      </c>
    </row>
    <row r="50" spans="1:3" x14ac:dyDescent="0.25">
      <c r="A50" s="9" t="s">
        <v>563</v>
      </c>
      <c r="B50" s="1" t="s">
        <v>145</v>
      </c>
      <c r="C50" s="4">
        <v>15</v>
      </c>
    </row>
    <row r="51" spans="1:3" x14ac:dyDescent="0.25">
      <c r="A51" s="9" t="s">
        <v>404</v>
      </c>
      <c r="B51" s="3" t="s">
        <v>145</v>
      </c>
      <c r="C51" s="4">
        <v>15</v>
      </c>
    </row>
    <row r="52" spans="1:3" x14ac:dyDescent="0.25">
      <c r="A52" s="9" t="s">
        <v>564</v>
      </c>
      <c r="B52" s="1" t="s">
        <v>145</v>
      </c>
      <c r="C52" s="4">
        <v>15</v>
      </c>
    </row>
    <row r="53" spans="1:3" x14ac:dyDescent="0.25">
      <c r="A53" s="9" t="s">
        <v>565</v>
      </c>
      <c r="B53" s="20" t="s">
        <v>145</v>
      </c>
      <c r="C53" s="4">
        <v>15</v>
      </c>
    </row>
    <row r="54" spans="1:3" x14ac:dyDescent="0.25">
      <c r="A54" s="9" t="s">
        <v>566</v>
      </c>
      <c r="B54" s="3" t="s">
        <v>145</v>
      </c>
      <c r="C54" s="4">
        <v>15</v>
      </c>
    </row>
    <row r="55" spans="1:3" x14ac:dyDescent="0.25">
      <c r="A55" s="9" t="s">
        <v>567</v>
      </c>
      <c r="B55" s="3" t="s">
        <v>145</v>
      </c>
      <c r="C55" s="4">
        <v>15</v>
      </c>
    </row>
    <row r="56" spans="1:3" x14ac:dyDescent="0.25">
      <c r="A56" s="9" t="s">
        <v>568</v>
      </c>
      <c r="B56" s="3" t="s">
        <v>145</v>
      </c>
      <c r="C56" s="4">
        <v>15</v>
      </c>
    </row>
    <row r="57" spans="1:3" x14ac:dyDescent="0.25">
      <c r="A57" s="9" t="s">
        <v>569</v>
      </c>
      <c r="B57" s="3" t="s">
        <v>145</v>
      </c>
      <c r="C57" s="4">
        <v>15</v>
      </c>
    </row>
    <row r="58" spans="1:3" x14ac:dyDescent="0.25">
      <c r="A58" s="25" t="s">
        <v>570</v>
      </c>
      <c r="B58" s="19" t="s">
        <v>146</v>
      </c>
      <c r="C58" s="16">
        <v>14</v>
      </c>
    </row>
    <row r="59" spans="1:3" x14ac:dyDescent="0.25">
      <c r="A59" s="25" t="s">
        <v>503</v>
      </c>
      <c r="B59" s="19" t="s">
        <v>146</v>
      </c>
      <c r="C59" s="16">
        <v>14</v>
      </c>
    </row>
    <row r="60" spans="1:3" x14ac:dyDescent="0.25">
      <c r="A60" s="25" t="s">
        <v>571</v>
      </c>
      <c r="B60" s="19" t="s">
        <v>146</v>
      </c>
      <c r="C60" s="16">
        <v>14</v>
      </c>
    </row>
    <row r="61" spans="1:3" x14ac:dyDescent="0.25">
      <c r="A61" s="25" t="s">
        <v>572</v>
      </c>
      <c r="B61" s="15" t="s">
        <v>146</v>
      </c>
      <c r="C61" s="16">
        <v>14</v>
      </c>
    </row>
    <row r="62" spans="1:3" x14ac:dyDescent="0.25">
      <c r="A62" s="25" t="s">
        <v>573</v>
      </c>
      <c r="B62" s="15" t="s">
        <v>146</v>
      </c>
      <c r="C62" s="16">
        <v>14</v>
      </c>
    </row>
    <row r="63" spans="1:3" x14ac:dyDescent="0.25">
      <c r="A63" s="25" t="s">
        <v>496</v>
      </c>
      <c r="B63" s="15" t="s">
        <v>146</v>
      </c>
      <c r="C63" s="16">
        <v>14</v>
      </c>
    </row>
    <row r="64" spans="1:3" x14ac:dyDescent="0.25">
      <c r="A64" s="25" t="s">
        <v>574</v>
      </c>
      <c r="B64" s="15" t="s">
        <v>146</v>
      </c>
      <c r="C64" s="16">
        <v>14</v>
      </c>
    </row>
    <row r="65" spans="1:3" x14ac:dyDescent="0.25">
      <c r="A65" s="25" t="s">
        <v>575</v>
      </c>
      <c r="B65" s="19" t="s">
        <v>146</v>
      </c>
      <c r="C65" s="16">
        <v>14</v>
      </c>
    </row>
    <row r="66" spans="1:3" x14ac:dyDescent="0.25">
      <c r="A66" s="25" t="s">
        <v>576</v>
      </c>
      <c r="B66" s="15" t="s">
        <v>146</v>
      </c>
      <c r="C66" s="16">
        <v>14</v>
      </c>
    </row>
    <row r="67" spans="1:3" x14ac:dyDescent="0.25">
      <c r="A67" s="25" t="s">
        <v>577</v>
      </c>
      <c r="B67" s="15" t="s">
        <v>146</v>
      </c>
      <c r="C67" s="16">
        <v>14</v>
      </c>
    </row>
    <row r="68" spans="1:3" x14ac:dyDescent="0.25">
      <c r="A68" s="9" t="s">
        <v>578</v>
      </c>
      <c r="B68" s="3" t="s">
        <v>147</v>
      </c>
      <c r="C68" s="4">
        <v>13</v>
      </c>
    </row>
    <row r="69" spans="1:3" x14ac:dyDescent="0.25">
      <c r="A69" s="9" t="s">
        <v>579</v>
      </c>
      <c r="B69" s="1" t="s">
        <v>147</v>
      </c>
      <c r="C69" s="4">
        <v>13</v>
      </c>
    </row>
    <row r="70" spans="1:3" x14ac:dyDescent="0.25">
      <c r="A70" s="9" t="s">
        <v>580</v>
      </c>
      <c r="B70" s="1" t="s">
        <v>581</v>
      </c>
      <c r="C70" s="4">
        <v>13</v>
      </c>
    </row>
    <row r="71" spans="1:3" x14ac:dyDescent="0.25">
      <c r="A71" s="9" t="s">
        <v>582</v>
      </c>
      <c r="B71" s="1" t="s">
        <v>147</v>
      </c>
      <c r="C71" s="4">
        <v>13</v>
      </c>
    </row>
    <row r="72" spans="1:3" x14ac:dyDescent="0.25">
      <c r="A72" s="9" t="s">
        <v>583</v>
      </c>
      <c r="B72" s="1" t="s">
        <v>147</v>
      </c>
      <c r="C72" s="4">
        <v>13</v>
      </c>
    </row>
    <row r="73" spans="1:3" x14ac:dyDescent="0.25">
      <c r="A73" s="9" t="s">
        <v>584</v>
      </c>
      <c r="B73" s="1" t="s">
        <v>147</v>
      </c>
      <c r="C73" s="4">
        <v>13</v>
      </c>
    </row>
    <row r="74" spans="1:3" x14ac:dyDescent="0.25">
      <c r="A74" s="9" t="s">
        <v>308</v>
      </c>
      <c r="B74" s="20" t="s">
        <v>147</v>
      </c>
      <c r="C74" s="4">
        <v>13</v>
      </c>
    </row>
    <row r="75" spans="1:3" x14ac:dyDescent="0.25">
      <c r="A75" s="25" t="s">
        <v>585</v>
      </c>
      <c r="B75" s="15" t="s">
        <v>178</v>
      </c>
      <c r="C75" s="16">
        <v>12</v>
      </c>
    </row>
    <row r="76" spans="1:3" x14ac:dyDescent="0.25">
      <c r="A76" s="26" t="s">
        <v>586</v>
      </c>
      <c r="B76" s="15" t="s">
        <v>178</v>
      </c>
      <c r="C76" s="16">
        <v>12</v>
      </c>
    </row>
    <row r="77" spans="1:3" x14ac:dyDescent="0.25">
      <c r="A77" s="25" t="s">
        <v>587</v>
      </c>
      <c r="B77" s="19" t="s">
        <v>180</v>
      </c>
      <c r="C77" s="16">
        <v>11</v>
      </c>
    </row>
    <row r="78" spans="1:3" x14ac:dyDescent="0.25">
      <c r="A78" s="25" t="s">
        <v>588</v>
      </c>
      <c r="B78" s="23" t="s">
        <v>180</v>
      </c>
      <c r="C78" s="16">
        <v>11</v>
      </c>
    </row>
    <row r="79" spans="1:3" x14ac:dyDescent="0.25">
      <c r="A79" s="25" t="s">
        <v>270</v>
      </c>
      <c r="B79" s="19" t="s">
        <v>196</v>
      </c>
      <c r="C79" s="16">
        <v>3</v>
      </c>
    </row>
    <row r="80" spans="1:3" x14ac:dyDescent="0.25">
      <c r="A80" s="25" t="s">
        <v>589</v>
      </c>
      <c r="B80" s="23" t="s">
        <v>199</v>
      </c>
      <c r="C80" s="16">
        <v>1</v>
      </c>
    </row>
    <row r="81" spans="1:3" x14ac:dyDescent="0.25">
      <c r="A81" s="9" t="s">
        <v>590</v>
      </c>
      <c r="B81" s="1"/>
    </row>
    <row r="82" spans="1:3" x14ac:dyDescent="0.25">
      <c r="A82" s="9" t="s">
        <v>300</v>
      </c>
      <c r="B82" s="3"/>
    </row>
    <row r="83" spans="1:3" x14ac:dyDescent="0.25">
      <c r="A83" s="27" t="s">
        <v>313</v>
      </c>
      <c r="B83" s="1"/>
    </row>
    <row r="84" spans="1:3" x14ac:dyDescent="0.25">
      <c r="A84" s="9" t="s">
        <v>591</v>
      </c>
      <c r="B84" s="1"/>
    </row>
    <row r="85" spans="1:3" x14ac:dyDescent="0.25">
      <c r="A85" s="20" t="s">
        <v>592</v>
      </c>
      <c r="B85" s="28" t="s">
        <v>145</v>
      </c>
      <c r="C85" s="21">
        <f>SUM(C9:C80)/72</f>
        <v>14.847222222222221</v>
      </c>
    </row>
    <row r="86" spans="1:3" x14ac:dyDescent="0.25">
      <c r="A86" s="3"/>
    </row>
    <row r="87" spans="1:3" x14ac:dyDescent="0.25">
      <c r="A87" s="1" t="s">
        <v>593</v>
      </c>
    </row>
    <row r="88" spans="1:3" x14ac:dyDescent="0.25">
      <c r="A88" s="1" t="s">
        <v>594</v>
      </c>
    </row>
    <row r="89" spans="1:3" x14ac:dyDescent="0.25">
      <c r="A89" s="1" t="s">
        <v>595</v>
      </c>
    </row>
    <row r="91" spans="1:3" x14ac:dyDescent="0.25">
      <c r="A91" s="1" t="s">
        <v>596</v>
      </c>
    </row>
    <row r="92" spans="1:3" x14ac:dyDescent="0.25">
      <c r="A92" s="2" t="s">
        <v>597</v>
      </c>
    </row>
    <row r="93" spans="1:3" x14ac:dyDescent="0.25">
      <c r="A93" s="2" t="s">
        <v>598</v>
      </c>
    </row>
    <row r="94" spans="1:3" x14ac:dyDescent="0.25">
      <c r="A94" s="2" t="s">
        <v>599</v>
      </c>
    </row>
    <row r="95" spans="1:3" x14ac:dyDescent="0.25">
      <c r="A95" s="2" t="s">
        <v>600</v>
      </c>
    </row>
    <row r="96" spans="1:3" x14ac:dyDescent="0.25">
      <c r="A96" s="2" t="s">
        <v>601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K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7" ht="18" x14ac:dyDescent="0.25">
      <c r="A1" s="153" t="s">
        <v>602</v>
      </c>
      <c r="C1" s="154"/>
    </row>
    <row r="3" spans="1:7" x14ac:dyDescent="0.25">
      <c r="E3" s="165">
        <v>44561</v>
      </c>
    </row>
    <row r="5" spans="1:7" s="156" customFormat="1" ht="27.6" x14ac:dyDescent="0.25">
      <c r="C5" s="157" t="s">
        <v>217</v>
      </c>
      <c r="D5" s="158" t="s">
        <v>603</v>
      </c>
      <c r="E5" s="159" t="s">
        <v>604</v>
      </c>
    </row>
    <row r="6" spans="1:7" x14ac:dyDescent="0.25">
      <c r="E6" s="160"/>
    </row>
    <row r="7" spans="1:7" s="161" customFormat="1" x14ac:dyDescent="0.25">
      <c r="B7" s="322">
        <v>1</v>
      </c>
      <c r="C7" s="323" t="s">
        <v>222</v>
      </c>
      <c r="D7" s="324" t="s">
        <v>223</v>
      </c>
      <c r="E7" s="325" t="s">
        <v>209</v>
      </c>
      <c r="F7" s="360">
        <v>0.66657342657342666</v>
      </c>
      <c r="G7" s="317"/>
    </row>
    <row r="8" spans="1:7" s="161" customFormat="1" x14ac:dyDescent="0.25">
      <c r="B8" s="322">
        <v>2</v>
      </c>
      <c r="C8" s="323" t="s">
        <v>224</v>
      </c>
      <c r="D8" s="324" t="s">
        <v>225</v>
      </c>
      <c r="E8" s="325" t="s">
        <v>208</v>
      </c>
      <c r="F8" s="360">
        <v>0.88454697353527734</v>
      </c>
      <c r="G8" s="317"/>
    </row>
    <row r="9" spans="1:7" s="161" customFormat="1" x14ac:dyDescent="0.25">
      <c r="B9" s="322">
        <v>3</v>
      </c>
      <c r="C9" s="323" t="s">
        <v>230</v>
      </c>
      <c r="D9" s="324" t="s">
        <v>231</v>
      </c>
      <c r="E9" s="325" t="s">
        <v>208</v>
      </c>
      <c r="F9" s="360">
        <v>1</v>
      </c>
      <c r="G9" s="317"/>
    </row>
    <row r="10" spans="1:7" s="161" customFormat="1" x14ac:dyDescent="0.25">
      <c r="B10" s="322">
        <v>4</v>
      </c>
      <c r="C10" s="323" t="s">
        <v>227</v>
      </c>
      <c r="D10" s="324" t="s">
        <v>228</v>
      </c>
      <c r="E10" s="325" t="s">
        <v>208</v>
      </c>
      <c r="F10" s="360">
        <v>0.93497109002414769</v>
      </c>
      <c r="G10" s="317"/>
    </row>
    <row r="11" spans="1:7" s="161" customFormat="1" x14ac:dyDescent="0.25">
      <c r="B11" s="322">
        <v>5</v>
      </c>
      <c r="C11" s="323" t="s">
        <v>238</v>
      </c>
      <c r="D11" s="324" t="s">
        <v>239</v>
      </c>
      <c r="E11" s="325" t="s">
        <v>209</v>
      </c>
      <c r="F11" s="360">
        <v>0.66135074929121107</v>
      </c>
      <c r="G11" s="317"/>
    </row>
    <row r="12" spans="1:7" s="161" customFormat="1" x14ac:dyDescent="0.25">
      <c r="B12" s="322">
        <v>6</v>
      </c>
      <c r="C12" s="323" t="s">
        <v>243</v>
      </c>
      <c r="D12" s="324" t="s">
        <v>244</v>
      </c>
      <c r="E12" s="325" t="s">
        <v>208</v>
      </c>
      <c r="F12" s="360">
        <v>0.98104392986850819</v>
      </c>
      <c r="G12" s="317"/>
    </row>
    <row r="13" spans="1:7" s="161" customFormat="1" x14ac:dyDescent="0.25">
      <c r="B13" s="322">
        <v>7</v>
      </c>
      <c r="C13" s="323" t="s">
        <v>250</v>
      </c>
      <c r="D13" s="324" t="s">
        <v>251</v>
      </c>
      <c r="E13" s="325" t="s">
        <v>208</v>
      </c>
      <c r="F13" s="360">
        <v>0.99026883354781969</v>
      </c>
      <c r="G13" s="317"/>
    </row>
    <row r="14" spans="1:7" s="161" customFormat="1" x14ac:dyDescent="0.25">
      <c r="B14" s="322">
        <v>8</v>
      </c>
      <c r="C14" s="323" t="s">
        <v>254</v>
      </c>
      <c r="D14" s="324" t="s">
        <v>255</v>
      </c>
      <c r="E14" s="325" t="s">
        <v>208</v>
      </c>
      <c r="F14" s="360">
        <v>0.82565220992206489</v>
      </c>
      <c r="G14" s="317"/>
    </row>
    <row r="15" spans="1:7" s="161" customFormat="1" x14ac:dyDescent="0.25">
      <c r="B15" s="322">
        <v>9</v>
      </c>
      <c r="C15" s="323" t="s">
        <v>261</v>
      </c>
      <c r="D15" s="324" t="s">
        <v>262</v>
      </c>
      <c r="E15" s="325" t="s">
        <v>208</v>
      </c>
      <c r="F15" s="360">
        <v>0.93938023858379993</v>
      </c>
      <c r="G15" s="317"/>
    </row>
    <row r="16" spans="1:7" s="161" customFormat="1" x14ac:dyDescent="0.25">
      <c r="B16" s="322">
        <v>10</v>
      </c>
      <c r="C16" s="323" t="s">
        <v>232</v>
      </c>
      <c r="D16" s="324" t="s">
        <v>233</v>
      </c>
      <c r="E16" s="325" t="s">
        <v>208</v>
      </c>
      <c r="F16" s="360">
        <v>0.84842195322897518</v>
      </c>
      <c r="G16" s="317"/>
    </row>
    <row r="17" spans="2:11" s="161" customFormat="1" x14ac:dyDescent="0.25">
      <c r="B17" s="322">
        <v>11</v>
      </c>
      <c r="C17" s="323" t="s">
        <v>263</v>
      </c>
      <c r="D17" s="324" t="s">
        <v>199</v>
      </c>
      <c r="E17" s="325" t="s">
        <v>208</v>
      </c>
      <c r="F17" s="360">
        <v>0.85550758108243796</v>
      </c>
      <c r="G17" s="317"/>
    </row>
    <row r="18" spans="2:11" s="161" customFormat="1" x14ac:dyDescent="0.25">
      <c r="B18" s="322">
        <v>12</v>
      </c>
      <c r="C18" s="323" t="s">
        <v>266</v>
      </c>
      <c r="D18" s="324" t="s">
        <v>267</v>
      </c>
      <c r="E18" s="325" t="s">
        <v>208</v>
      </c>
      <c r="F18" s="360">
        <v>0.8875601097711423</v>
      </c>
      <c r="G18" s="317"/>
    </row>
    <row r="19" spans="2:11" s="161" customFormat="1" x14ac:dyDescent="0.25">
      <c r="B19" s="322">
        <v>13</v>
      </c>
      <c r="C19" s="323" t="s">
        <v>268</v>
      </c>
      <c r="D19" s="324" t="s">
        <v>269</v>
      </c>
      <c r="E19" s="325" t="s">
        <v>208</v>
      </c>
      <c r="F19" s="360">
        <v>0.93400277552631883</v>
      </c>
      <c r="G19" s="317"/>
    </row>
    <row r="20" spans="2:11" s="161" customFormat="1" x14ac:dyDescent="0.25">
      <c r="B20" s="322">
        <v>14</v>
      </c>
      <c r="C20" s="323" t="s">
        <v>270</v>
      </c>
      <c r="D20" s="324" t="s">
        <v>271</v>
      </c>
      <c r="E20" s="325" t="s">
        <v>208</v>
      </c>
      <c r="F20" s="360">
        <v>1</v>
      </c>
      <c r="G20" s="317"/>
    </row>
    <row r="21" spans="2:11" s="161" customFormat="1" x14ac:dyDescent="0.25">
      <c r="B21" s="322">
        <v>15</v>
      </c>
      <c r="C21" s="323" t="s">
        <v>272</v>
      </c>
      <c r="D21" s="324" t="s">
        <v>273</v>
      </c>
      <c r="E21" s="325" t="s">
        <v>208</v>
      </c>
      <c r="F21" s="360">
        <v>1.0046991264307095</v>
      </c>
      <c r="G21" s="317"/>
    </row>
    <row r="22" spans="2:11" s="161" customFormat="1" x14ac:dyDescent="0.25">
      <c r="B22" s="322">
        <v>16</v>
      </c>
      <c r="C22" s="323" t="s">
        <v>235</v>
      </c>
      <c r="D22" s="324" t="s">
        <v>236</v>
      </c>
      <c r="E22" s="325" t="s">
        <v>208</v>
      </c>
      <c r="F22" s="360">
        <v>1</v>
      </c>
      <c r="G22" s="317"/>
      <c r="J22" s="153"/>
      <c r="K22" s="153"/>
    </row>
    <row r="23" spans="2:11" s="161" customFormat="1" x14ac:dyDescent="0.25">
      <c r="B23" s="322">
        <v>17</v>
      </c>
      <c r="C23" s="323" t="s">
        <v>240</v>
      </c>
      <c r="D23" s="324" t="s">
        <v>241</v>
      </c>
      <c r="E23" s="325" t="s">
        <v>208</v>
      </c>
      <c r="F23" s="360">
        <v>0.92808725544985682</v>
      </c>
      <c r="G23" s="317"/>
    </row>
    <row r="24" spans="2:11" s="161" customFormat="1" x14ac:dyDescent="0.25">
      <c r="B24" s="322">
        <v>18</v>
      </c>
      <c r="C24" s="323" t="s">
        <v>274</v>
      </c>
      <c r="D24" s="324" t="s">
        <v>275</v>
      </c>
      <c r="E24" s="325" t="s">
        <v>209</v>
      </c>
      <c r="F24" s="360">
        <v>0.6567929450504838</v>
      </c>
      <c r="G24" s="317"/>
    </row>
    <row r="25" spans="2:11" s="161" customFormat="1" x14ac:dyDescent="0.25">
      <c r="B25" s="322">
        <v>19</v>
      </c>
      <c r="C25" s="323" t="s">
        <v>280</v>
      </c>
      <c r="D25" s="324" t="s">
        <v>281</v>
      </c>
      <c r="E25" s="325" t="s">
        <v>208</v>
      </c>
      <c r="F25" s="360">
        <v>0.96955890121500266</v>
      </c>
      <c r="G25" s="317"/>
    </row>
    <row r="26" spans="2:11" s="161" customFormat="1" x14ac:dyDescent="0.25">
      <c r="B26" s="322">
        <v>20</v>
      </c>
      <c r="C26" s="323" t="s">
        <v>284</v>
      </c>
      <c r="D26" s="324" t="s">
        <v>285</v>
      </c>
      <c r="E26" s="325" t="s">
        <v>209</v>
      </c>
      <c r="F26" s="360">
        <v>0.41027453262057395</v>
      </c>
      <c r="G26" s="317"/>
    </row>
    <row r="27" spans="2:11" s="161" customFormat="1" x14ac:dyDescent="0.25">
      <c r="B27" s="322">
        <v>21</v>
      </c>
      <c r="C27" s="323" t="s">
        <v>288</v>
      </c>
      <c r="D27" s="324" t="s">
        <v>289</v>
      </c>
      <c r="E27" s="325" t="s">
        <v>208</v>
      </c>
      <c r="F27" s="360">
        <v>0.96953393758975615</v>
      </c>
      <c r="G27" s="317"/>
    </row>
    <row r="28" spans="2:11" s="161" customFormat="1" x14ac:dyDescent="0.25">
      <c r="B28" s="322">
        <v>22</v>
      </c>
      <c r="C28" s="323" t="s">
        <v>276</v>
      </c>
      <c r="D28" s="324" t="s">
        <v>277</v>
      </c>
      <c r="E28" s="325" t="s">
        <v>209</v>
      </c>
      <c r="F28" s="360">
        <v>0.53198457763285412</v>
      </c>
      <c r="G28" s="317"/>
    </row>
    <row r="29" spans="2:11" s="161" customFormat="1" x14ac:dyDescent="0.25">
      <c r="B29" s="322">
        <v>23</v>
      </c>
      <c r="C29" s="323" t="s">
        <v>313</v>
      </c>
      <c r="D29" s="324" t="s">
        <v>471</v>
      </c>
      <c r="E29" s="325" t="s">
        <v>208</v>
      </c>
      <c r="F29" s="360">
        <v>0.87967145409641012</v>
      </c>
      <c r="G29" s="317"/>
    </row>
    <row r="30" spans="2:11" s="161" customFormat="1" x14ac:dyDescent="0.25">
      <c r="B30" s="322">
        <v>24</v>
      </c>
      <c r="C30" s="323" t="s">
        <v>245</v>
      </c>
      <c r="D30" s="324" t="s">
        <v>246</v>
      </c>
      <c r="E30" s="325" t="s">
        <v>209</v>
      </c>
      <c r="F30" s="360">
        <v>0.53512830702850001</v>
      </c>
      <c r="G30" s="317"/>
    </row>
    <row r="31" spans="2:11" s="161" customFormat="1" x14ac:dyDescent="0.25">
      <c r="B31" s="322">
        <v>25</v>
      </c>
      <c r="C31" s="323" t="s">
        <v>278</v>
      </c>
      <c r="D31" s="324" t="s">
        <v>279</v>
      </c>
      <c r="E31" s="325" t="s">
        <v>208</v>
      </c>
      <c r="F31" s="360">
        <v>0.92448120412801316</v>
      </c>
      <c r="G31" s="317"/>
    </row>
    <row r="32" spans="2:11" s="161" customFormat="1" x14ac:dyDescent="0.25">
      <c r="B32" s="322">
        <v>26</v>
      </c>
      <c r="C32" s="323" t="s">
        <v>302</v>
      </c>
      <c r="D32" s="324" t="s">
        <v>303</v>
      </c>
      <c r="E32" s="325" t="s">
        <v>208</v>
      </c>
      <c r="F32" s="360">
        <v>0.99913958424250449</v>
      </c>
      <c r="G32" s="317"/>
    </row>
    <row r="33" spans="2:7" s="161" customFormat="1" x14ac:dyDescent="0.25">
      <c r="B33" s="322">
        <v>27</v>
      </c>
      <c r="C33" s="323" t="s">
        <v>282</v>
      </c>
      <c r="D33" s="324" t="s">
        <v>283</v>
      </c>
      <c r="E33" s="325" t="s">
        <v>208</v>
      </c>
      <c r="F33" s="360">
        <v>0.92714811524305119</v>
      </c>
      <c r="G33" s="317"/>
    </row>
    <row r="34" spans="2:7" s="161" customFormat="1" x14ac:dyDescent="0.25">
      <c r="B34" s="322">
        <v>28</v>
      </c>
      <c r="C34" s="323" t="s">
        <v>304</v>
      </c>
      <c r="D34" s="324" t="s">
        <v>305</v>
      </c>
      <c r="E34" s="325" t="s">
        <v>208</v>
      </c>
      <c r="F34" s="360">
        <v>0.82900796056380965</v>
      </c>
      <c r="G34" s="317"/>
    </row>
    <row r="35" spans="2:7" s="161" customFormat="1" x14ac:dyDescent="0.25">
      <c r="B35" s="322">
        <v>29</v>
      </c>
      <c r="C35" s="323" t="s">
        <v>306</v>
      </c>
      <c r="D35" s="324" t="s">
        <v>307</v>
      </c>
      <c r="E35" s="325" t="s">
        <v>208</v>
      </c>
      <c r="F35" s="360">
        <v>1</v>
      </c>
      <c r="G35" s="317"/>
    </row>
    <row r="36" spans="2:7" s="161" customFormat="1" x14ac:dyDescent="0.25">
      <c r="B36" s="322">
        <v>30</v>
      </c>
      <c r="C36" s="323" t="s">
        <v>286</v>
      </c>
      <c r="D36" s="324" t="s">
        <v>287</v>
      </c>
      <c r="E36" s="325" t="s">
        <v>208</v>
      </c>
      <c r="F36" s="360">
        <v>0.99574762277997275</v>
      </c>
      <c r="G36" s="317"/>
    </row>
    <row r="37" spans="2:7" s="161" customFormat="1" x14ac:dyDescent="0.25">
      <c r="B37" s="322">
        <v>31</v>
      </c>
      <c r="C37" s="323" t="s">
        <v>308</v>
      </c>
      <c r="D37" s="324" t="s">
        <v>309</v>
      </c>
      <c r="E37" s="325" t="s">
        <v>208</v>
      </c>
      <c r="F37" s="360">
        <v>1</v>
      </c>
      <c r="G37" s="317"/>
    </row>
    <row r="38" spans="2:7" s="161" customFormat="1" x14ac:dyDescent="0.25">
      <c r="B38" s="322">
        <v>32</v>
      </c>
      <c r="C38" s="323" t="s">
        <v>290</v>
      </c>
      <c r="D38" s="324" t="s">
        <v>291</v>
      </c>
      <c r="E38" s="325" t="s">
        <v>208</v>
      </c>
      <c r="F38" s="360">
        <v>1</v>
      </c>
      <c r="G38" s="317"/>
    </row>
    <row r="39" spans="2:7" s="161" customFormat="1" x14ac:dyDescent="0.25">
      <c r="B39" s="322">
        <v>33</v>
      </c>
      <c r="C39" s="323" t="s">
        <v>248</v>
      </c>
      <c r="D39" s="324" t="s">
        <v>249</v>
      </c>
      <c r="E39" s="325" t="s">
        <v>208</v>
      </c>
      <c r="F39" s="360">
        <v>0.89383860578514884</v>
      </c>
      <c r="G39" s="317"/>
    </row>
    <row r="40" spans="2:7" s="161" customFormat="1" x14ac:dyDescent="0.25">
      <c r="B40" s="322">
        <v>34</v>
      </c>
      <c r="C40" s="323" t="s">
        <v>294</v>
      </c>
      <c r="D40" s="324" t="s">
        <v>295</v>
      </c>
      <c r="E40" s="325" t="s">
        <v>209</v>
      </c>
      <c r="F40" s="360">
        <v>0.75915835017041167</v>
      </c>
      <c r="G40" s="317"/>
    </row>
    <row r="41" spans="2:7" s="161" customFormat="1" x14ac:dyDescent="0.25">
      <c r="B41" s="322">
        <v>35</v>
      </c>
      <c r="C41" s="323" t="s">
        <v>296</v>
      </c>
      <c r="D41" s="324" t="s">
        <v>297</v>
      </c>
      <c r="E41" s="325" t="s">
        <v>208</v>
      </c>
      <c r="F41" s="360">
        <v>0.81012749856379884</v>
      </c>
      <c r="G41" s="317"/>
    </row>
    <row r="42" spans="2:7" s="161" customFormat="1" x14ac:dyDescent="0.25">
      <c r="B42" s="322">
        <v>36</v>
      </c>
      <c r="C42" s="323" t="s">
        <v>298</v>
      </c>
      <c r="D42" s="324" t="s">
        <v>299</v>
      </c>
      <c r="E42" s="325" t="s">
        <v>208</v>
      </c>
      <c r="F42" s="360">
        <v>0.86226418053225018</v>
      </c>
      <c r="G42" s="317"/>
    </row>
    <row r="43" spans="2:7" s="161" customFormat="1" x14ac:dyDescent="0.25">
      <c r="B43" s="322">
        <v>37</v>
      </c>
      <c r="C43" s="323" t="s">
        <v>300</v>
      </c>
      <c r="D43" s="324" t="s">
        <v>301</v>
      </c>
      <c r="E43" s="325" t="s">
        <v>208</v>
      </c>
      <c r="F43" s="360">
        <v>0.98675582678698948</v>
      </c>
      <c r="G43" s="317"/>
    </row>
    <row r="44" spans="2:7" s="161" customFormat="1" x14ac:dyDescent="0.25">
      <c r="B44" s="322">
        <v>38</v>
      </c>
      <c r="C44" s="323" t="s">
        <v>605</v>
      </c>
      <c r="D44" s="324" t="s">
        <v>253</v>
      </c>
      <c r="E44" s="325" t="s">
        <v>208</v>
      </c>
      <c r="F44" s="360">
        <v>0.94489657206612199</v>
      </c>
      <c r="G44" s="317"/>
    </row>
    <row r="45" spans="2:7" s="161" customFormat="1" x14ac:dyDescent="0.25">
      <c r="B45" s="322">
        <v>39</v>
      </c>
      <c r="C45" s="323" t="s">
        <v>256</v>
      </c>
      <c r="D45" s="324" t="s">
        <v>257</v>
      </c>
      <c r="E45" s="325" t="s">
        <v>208</v>
      </c>
      <c r="F45" s="360">
        <v>0.99300334946036461</v>
      </c>
      <c r="G45" s="317"/>
    </row>
    <row r="46" spans="2:7" s="161" customFormat="1" x14ac:dyDescent="0.25">
      <c r="B46" s="322"/>
      <c r="C46" s="323"/>
      <c r="D46" s="324"/>
      <c r="E46" s="325"/>
      <c r="F46" s="317"/>
    </row>
    <row r="47" spans="2:7" s="161" customFormat="1" x14ac:dyDescent="0.25">
      <c r="B47" s="322"/>
      <c r="C47" s="323"/>
      <c r="D47" s="324"/>
      <c r="E47" s="325"/>
      <c r="F47" s="317"/>
    </row>
    <row r="48" spans="2:7" s="161" customFormat="1" x14ac:dyDescent="0.25">
      <c r="B48" s="322"/>
      <c r="C48" s="323"/>
      <c r="D48" s="324"/>
      <c r="E48" s="325"/>
      <c r="F48" s="317"/>
    </row>
    <row r="49" spans="2:6" s="161" customFormat="1" x14ac:dyDescent="0.25">
      <c r="B49" s="322"/>
      <c r="C49" s="323"/>
      <c r="D49" s="324"/>
      <c r="E49" s="325"/>
      <c r="F49" s="317"/>
    </row>
    <row r="50" spans="2:6" s="161" customFormat="1" x14ac:dyDescent="0.25">
      <c r="B50" s="322"/>
      <c r="C50" s="323"/>
      <c r="D50" s="324"/>
      <c r="E50" s="325"/>
      <c r="F50" s="317"/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606</v>
      </c>
      <c r="D53" s="324" t="s">
        <v>260</v>
      </c>
      <c r="E53" s="325" t="s">
        <v>208</v>
      </c>
      <c r="F53" s="360">
        <v>0.8148041025878342</v>
      </c>
    </row>
    <row r="54" spans="2:6" s="161" customFormat="1" x14ac:dyDescent="0.25">
      <c r="B54" s="322">
        <v>2</v>
      </c>
      <c r="C54" s="323" t="s">
        <v>607</v>
      </c>
      <c r="D54" s="324" t="s">
        <v>265</v>
      </c>
      <c r="E54" s="325" t="s">
        <v>208</v>
      </c>
      <c r="F54" s="360">
        <v>0.995763882493784</v>
      </c>
    </row>
    <row r="55" spans="2:6" s="161" customFormat="1" x14ac:dyDescent="0.25">
      <c r="B55" s="322">
        <v>3</v>
      </c>
      <c r="C55" s="323" t="s">
        <v>608</v>
      </c>
      <c r="D55" s="324" t="s">
        <v>293</v>
      </c>
      <c r="E55" s="325" t="s">
        <v>208</v>
      </c>
      <c r="F55" s="360">
        <v>1</v>
      </c>
    </row>
    <row r="56" spans="2:6" s="161" customFormat="1" x14ac:dyDescent="0.25">
      <c r="B56" s="322">
        <v>4</v>
      </c>
      <c r="C56" s="323" t="s">
        <v>609</v>
      </c>
      <c r="D56" s="324" t="s">
        <v>221</v>
      </c>
      <c r="E56" s="325" t="s">
        <v>209</v>
      </c>
      <c r="F56" s="360">
        <v>0.65882709271949413</v>
      </c>
    </row>
    <row r="57" spans="2:6" s="161" customFormat="1" x14ac:dyDescent="0.25">
      <c r="B57" s="322">
        <v>5</v>
      </c>
      <c r="C57" s="323" t="s">
        <v>610</v>
      </c>
      <c r="D57" s="324" t="s">
        <v>311</v>
      </c>
      <c r="E57" s="325" t="s">
        <v>208</v>
      </c>
      <c r="F57" s="360">
        <v>0.92488224975896105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602</v>
      </c>
      <c r="C1" s="154"/>
    </row>
    <row r="3" spans="1:6" x14ac:dyDescent="0.25">
      <c r="E3" s="165">
        <v>44196</v>
      </c>
    </row>
    <row r="5" spans="1:6" s="156" customFormat="1" ht="27.6" x14ac:dyDescent="0.25">
      <c r="C5" s="157" t="s">
        <v>217</v>
      </c>
      <c r="D5" s="158" t="s">
        <v>603</v>
      </c>
      <c r="E5" s="159" t="s">
        <v>604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222</v>
      </c>
      <c r="D7" s="324" t="s">
        <v>223</v>
      </c>
      <c r="E7" s="325" t="s">
        <v>209</v>
      </c>
      <c r="F7" s="317">
        <v>0.68974131413733031</v>
      </c>
    </row>
    <row r="8" spans="1:6" s="161" customFormat="1" x14ac:dyDescent="0.25">
      <c r="B8" s="322">
        <v>2</v>
      </c>
      <c r="C8" s="323" t="s">
        <v>224</v>
      </c>
      <c r="D8" s="324" t="s">
        <v>225</v>
      </c>
      <c r="E8" s="325" t="s">
        <v>208</v>
      </c>
      <c r="F8" s="317">
        <v>0.89051383399209483</v>
      </c>
    </row>
    <row r="9" spans="1:6" s="161" customFormat="1" x14ac:dyDescent="0.2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2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0.93051641215891578</v>
      </c>
    </row>
    <row r="11" spans="1:6" s="161" customFormat="1" x14ac:dyDescent="0.2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0.65018639452185178</v>
      </c>
    </row>
    <row r="12" spans="1:6" s="161" customFormat="1" x14ac:dyDescent="0.2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0.98472594214052056</v>
      </c>
    </row>
    <row r="13" spans="1:6" s="161" customFormat="1" x14ac:dyDescent="0.2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0.92685503115053358</v>
      </c>
    </row>
    <row r="14" spans="1:6" s="161" customFormat="1" x14ac:dyDescent="0.25">
      <c r="B14" s="322">
        <v>8</v>
      </c>
      <c r="C14" s="323" t="s">
        <v>254</v>
      </c>
      <c r="D14" s="324" t="s">
        <v>255</v>
      </c>
      <c r="E14" s="325" t="s">
        <v>208</v>
      </c>
      <c r="F14" s="317">
        <v>0.82685116874630427</v>
      </c>
    </row>
    <row r="15" spans="1:6" s="161" customFormat="1" x14ac:dyDescent="0.2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0.85141239128969193</v>
      </c>
    </row>
    <row r="16" spans="1:6" s="161" customFormat="1" x14ac:dyDescent="0.2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0.84181572462039911</v>
      </c>
    </row>
    <row r="17" spans="2:6" s="161" customFormat="1" x14ac:dyDescent="0.25">
      <c r="B17" s="322">
        <v>11</v>
      </c>
      <c r="C17" s="323" t="s">
        <v>263</v>
      </c>
      <c r="D17" s="324" t="s">
        <v>199</v>
      </c>
      <c r="E17" s="325" t="s">
        <v>208</v>
      </c>
      <c r="F17" s="317">
        <v>0.82477451644856892</v>
      </c>
    </row>
    <row r="18" spans="2:6" s="161" customFormat="1" x14ac:dyDescent="0.2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0.72373395463337431</v>
      </c>
    </row>
    <row r="19" spans="2:6" s="161" customFormat="1" x14ac:dyDescent="0.2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0.93370447430791104</v>
      </c>
    </row>
    <row r="20" spans="2:6" s="161" customFormat="1" x14ac:dyDescent="0.2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25">
      <c r="B21" s="322">
        <v>15</v>
      </c>
      <c r="C21" s="323" t="s">
        <v>272</v>
      </c>
      <c r="D21" s="324" t="s">
        <v>273</v>
      </c>
      <c r="E21" s="325" t="s">
        <v>208</v>
      </c>
      <c r="F21" s="317">
        <v>0.97001286693233424</v>
      </c>
    </row>
    <row r="22" spans="2:6" s="161" customFormat="1" x14ac:dyDescent="0.25">
      <c r="B22" s="322">
        <v>16</v>
      </c>
      <c r="C22" s="323" t="s">
        <v>235</v>
      </c>
      <c r="D22" s="324" t="s">
        <v>236</v>
      </c>
      <c r="E22" s="325" t="s">
        <v>208</v>
      </c>
      <c r="F22" s="317">
        <v>1</v>
      </c>
    </row>
    <row r="23" spans="2:6" s="161" customFormat="1" x14ac:dyDescent="0.25">
      <c r="B23" s="322">
        <v>17</v>
      </c>
      <c r="C23" s="323" t="s">
        <v>240</v>
      </c>
      <c r="D23" s="324" t="s">
        <v>241</v>
      </c>
      <c r="E23" s="325" t="s">
        <v>208</v>
      </c>
      <c r="F23" s="317">
        <v>0.93552659613213984</v>
      </c>
    </row>
    <row r="24" spans="2:6" s="161" customFormat="1" x14ac:dyDescent="0.25">
      <c r="B24" s="322">
        <v>18</v>
      </c>
      <c r="C24" s="323" t="s">
        <v>274</v>
      </c>
      <c r="D24" s="324" t="s">
        <v>275</v>
      </c>
      <c r="E24" s="325" t="s">
        <v>209</v>
      </c>
      <c r="F24" s="317">
        <v>0.63706241252116891</v>
      </c>
    </row>
    <row r="25" spans="2:6" s="161" customFormat="1" x14ac:dyDescent="0.25">
      <c r="B25" s="322">
        <v>19</v>
      </c>
      <c r="C25" s="323" t="s">
        <v>280</v>
      </c>
      <c r="D25" s="324" t="s">
        <v>281</v>
      </c>
      <c r="E25" s="325" t="s">
        <v>208</v>
      </c>
      <c r="F25" s="317">
        <v>0.97712756387189637</v>
      </c>
    </row>
    <row r="26" spans="2:6" s="161" customFormat="1" x14ac:dyDescent="0.25">
      <c r="B26" s="322">
        <v>20</v>
      </c>
      <c r="C26" s="323" t="s">
        <v>284</v>
      </c>
      <c r="D26" s="324" t="s">
        <v>285</v>
      </c>
      <c r="E26" s="325" t="s">
        <v>209</v>
      </c>
      <c r="F26" s="317">
        <v>0.43037656540682762</v>
      </c>
    </row>
    <row r="27" spans="2:6" s="161" customFormat="1" x14ac:dyDescent="0.25">
      <c r="B27" s="322">
        <v>21</v>
      </c>
      <c r="C27" s="323" t="s">
        <v>288</v>
      </c>
      <c r="D27" s="324" t="s">
        <v>289</v>
      </c>
      <c r="E27" s="325" t="s">
        <v>208</v>
      </c>
      <c r="F27" s="317">
        <v>0.97334355238523151</v>
      </c>
    </row>
    <row r="28" spans="2:6" s="161" customFormat="1" x14ac:dyDescent="0.25">
      <c r="B28" s="322">
        <v>22</v>
      </c>
      <c r="C28" s="323" t="s">
        <v>276</v>
      </c>
      <c r="D28" s="324" t="s">
        <v>277</v>
      </c>
      <c r="E28" s="325" t="s">
        <v>209</v>
      </c>
      <c r="F28" s="317">
        <v>0.54964094543254671</v>
      </c>
    </row>
    <row r="29" spans="2:6" s="161" customFormat="1" x14ac:dyDescent="0.25">
      <c r="B29" s="322">
        <v>23</v>
      </c>
      <c r="C29" s="323" t="s">
        <v>313</v>
      </c>
      <c r="D29" s="324" t="s">
        <v>471</v>
      </c>
      <c r="E29" s="325" t="s">
        <v>208</v>
      </c>
      <c r="F29" s="317">
        <v>0.86104015217972951</v>
      </c>
    </row>
    <row r="30" spans="2:6" s="161" customFormat="1" x14ac:dyDescent="0.25">
      <c r="B30" s="322">
        <v>24</v>
      </c>
      <c r="C30" s="323" t="s">
        <v>245</v>
      </c>
      <c r="D30" s="324" t="s">
        <v>246</v>
      </c>
      <c r="E30" s="325" t="s">
        <v>209</v>
      </c>
      <c r="F30" s="317">
        <v>0.53518843394630489</v>
      </c>
    </row>
    <row r="31" spans="2:6" s="161" customFormat="1" x14ac:dyDescent="0.25">
      <c r="B31" s="322">
        <v>25</v>
      </c>
      <c r="C31" s="323" t="s">
        <v>278</v>
      </c>
      <c r="D31" s="324" t="s">
        <v>279</v>
      </c>
      <c r="E31" s="325" t="s">
        <v>208</v>
      </c>
      <c r="F31" s="317">
        <v>0.9017989610036069</v>
      </c>
    </row>
    <row r="32" spans="2:6" s="161" customFormat="1" x14ac:dyDescent="0.25">
      <c r="B32" s="322">
        <v>26</v>
      </c>
      <c r="C32" s="323" t="s">
        <v>302</v>
      </c>
      <c r="D32" s="324" t="s">
        <v>303</v>
      </c>
      <c r="E32" s="325" t="s">
        <v>208</v>
      </c>
      <c r="F32" s="317">
        <v>0.99818137682920705</v>
      </c>
    </row>
    <row r="33" spans="2:6" s="161" customFormat="1" x14ac:dyDescent="0.25">
      <c r="B33" s="322">
        <v>27</v>
      </c>
      <c r="C33" s="323" t="s">
        <v>282</v>
      </c>
      <c r="D33" s="324" t="s">
        <v>283</v>
      </c>
      <c r="E33" s="325" t="s">
        <v>208</v>
      </c>
      <c r="F33" s="317">
        <v>0.97856103295144981</v>
      </c>
    </row>
    <row r="34" spans="2:6" s="161" customFormat="1" x14ac:dyDescent="0.25">
      <c r="B34" s="322">
        <v>28</v>
      </c>
      <c r="C34" s="323" t="s">
        <v>304</v>
      </c>
      <c r="D34" s="324" t="s">
        <v>305</v>
      </c>
      <c r="E34" s="325" t="s">
        <v>208</v>
      </c>
      <c r="F34" s="317">
        <v>0.86621115641994861</v>
      </c>
    </row>
    <row r="35" spans="2:6" s="161" customFormat="1" x14ac:dyDescent="0.25">
      <c r="B35" s="322">
        <v>29</v>
      </c>
      <c r="C35" s="323" t="s">
        <v>306</v>
      </c>
      <c r="D35" s="324" t="s">
        <v>307</v>
      </c>
      <c r="E35" s="325" t="s">
        <v>208</v>
      </c>
      <c r="F35" s="317">
        <v>1</v>
      </c>
    </row>
    <row r="36" spans="2:6" s="161" customFormat="1" x14ac:dyDescent="0.25">
      <c r="B36" s="322">
        <v>30</v>
      </c>
      <c r="C36" s="323" t="s">
        <v>286</v>
      </c>
      <c r="D36" s="324" t="s">
        <v>287</v>
      </c>
      <c r="E36" s="325" t="s">
        <v>208</v>
      </c>
      <c r="F36" s="317">
        <v>0.99519640471096993</v>
      </c>
    </row>
    <row r="37" spans="2:6" s="161" customFormat="1" x14ac:dyDescent="0.25">
      <c r="B37" s="322">
        <v>31</v>
      </c>
      <c r="C37" s="323" t="s">
        <v>308</v>
      </c>
      <c r="D37" s="324" t="s">
        <v>309</v>
      </c>
      <c r="E37" s="325" t="s">
        <v>208</v>
      </c>
      <c r="F37" s="317">
        <v>1</v>
      </c>
    </row>
    <row r="38" spans="2:6" s="161" customFormat="1" x14ac:dyDescent="0.25">
      <c r="B38" s="322">
        <v>32</v>
      </c>
      <c r="C38" s="323" t="s">
        <v>290</v>
      </c>
      <c r="D38" s="324" t="s">
        <v>291</v>
      </c>
      <c r="E38" s="325" t="s">
        <v>208</v>
      </c>
      <c r="F38" s="317">
        <v>1</v>
      </c>
    </row>
    <row r="39" spans="2:6" s="161" customFormat="1" x14ac:dyDescent="0.25">
      <c r="B39" s="322">
        <v>33</v>
      </c>
      <c r="C39" s="323" t="s">
        <v>248</v>
      </c>
      <c r="D39" s="324" t="s">
        <v>249</v>
      </c>
      <c r="E39" s="325" t="s">
        <v>208</v>
      </c>
      <c r="F39" s="317">
        <v>0.98478676531715026</v>
      </c>
    </row>
    <row r="40" spans="2:6" s="161" customFormat="1" x14ac:dyDescent="0.25">
      <c r="B40" s="322">
        <v>34</v>
      </c>
      <c r="C40" s="323" t="s">
        <v>294</v>
      </c>
      <c r="D40" s="324" t="s">
        <v>295</v>
      </c>
      <c r="E40" s="325" t="s">
        <v>209</v>
      </c>
      <c r="F40" s="317">
        <v>0.71090909090909093</v>
      </c>
    </row>
    <row r="41" spans="2:6" s="161" customFormat="1" x14ac:dyDescent="0.25">
      <c r="B41" s="322">
        <v>35</v>
      </c>
      <c r="C41" s="323" t="s">
        <v>296</v>
      </c>
      <c r="D41" s="324" t="s">
        <v>297</v>
      </c>
      <c r="E41" s="325" t="s">
        <v>208</v>
      </c>
      <c r="F41" s="317">
        <v>0.80767166825480874</v>
      </c>
    </row>
    <row r="42" spans="2:6" s="161" customFormat="1" x14ac:dyDescent="0.25">
      <c r="B42" s="322">
        <v>36</v>
      </c>
      <c r="C42" s="323" t="s">
        <v>298</v>
      </c>
      <c r="D42" s="324" t="s">
        <v>299</v>
      </c>
      <c r="E42" s="325" t="s">
        <v>208</v>
      </c>
      <c r="F42" s="317">
        <v>0.85066091837149715</v>
      </c>
    </row>
    <row r="43" spans="2:6" s="161" customFormat="1" x14ac:dyDescent="0.25">
      <c r="B43" s="322">
        <v>37</v>
      </c>
      <c r="C43" s="323" t="s">
        <v>300</v>
      </c>
      <c r="D43" s="324" t="s">
        <v>301</v>
      </c>
      <c r="E43" s="325" t="s">
        <v>208</v>
      </c>
      <c r="F43" s="317">
        <v>0.9866026118140605</v>
      </c>
    </row>
    <row r="44" spans="2:6" s="161" customFormat="1" x14ac:dyDescent="0.25">
      <c r="B44" s="322">
        <v>38</v>
      </c>
      <c r="C44" s="323" t="s">
        <v>605</v>
      </c>
      <c r="D44" s="324" t="s">
        <v>253</v>
      </c>
      <c r="E44" s="325" t="s">
        <v>208</v>
      </c>
      <c r="F44" s="317">
        <v>0.94987050375255555</v>
      </c>
    </row>
    <row r="45" spans="2:6" s="161" customFormat="1" x14ac:dyDescent="0.25">
      <c r="B45" s="322">
        <v>39</v>
      </c>
      <c r="C45" s="323" t="s">
        <v>256</v>
      </c>
      <c r="D45" s="324" t="s">
        <v>257</v>
      </c>
      <c r="E45" s="325" t="s">
        <v>208</v>
      </c>
      <c r="F45" s="317">
        <v>0.9923670743342875</v>
      </c>
    </row>
    <row r="46" spans="2:6" s="161" customFormat="1" x14ac:dyDescent="0.25">
      <c r="B46" s="322"/>
      <c r="C46" s="323"/>
      <c r="D46" s="324"/>
      <c r="E46" s="325"/>
      <c r="F46" s="317"/>
    </row>
    <row r="47" spans="2:6" s="161" customFormat="1" x14ac:dyDescent="0.25">
      <c r="B47" s="322"/>
      <c r="C47" s="323"/>
      <c r="D47" s="324"/>
      <c r="E47" s="325"/>
      <c r="F47" s="317"/>
    </row>
    <row r="48" spans="2:6" s="161" customFormat="1" x14ac:dyDescent="0.25">
      <c r="B48" s="322"/>
      <c r="C48" s="323"/>
      <c r="D48" s="324"/>
      <c r="E48" s="325"/>
      <c r="F48" s="317"/>
    </row>
    <row r="49" spans="2:6" s="161" customFormat="1" x14ac:dyDescent="0.25">
      <c r="B49" s="322"/>
      <c r="C49" s="323"/>
      <c r="D49" s="324"/>
      <c r="E49" s="325"/>
      <c r="F49" s="317"/>
    </row>
    <row r="50" spans="2:6" s="161" customFormat="1" x14ac:dyDescent="0.25">
      <c r="B50" s="322"/>
      <c r="C50" s="323"/>
      <c r="D50" s="324"/>
      <c r="E50" s="325"/>
      <c r="F50" s="317"/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606</v>
      </c>
      <c r="D53" s="324" t="s">
        <v>260</v>
      </c>
      <c r="E53" s="325" t="s">
        <v>208</v>
      </c>
      <c r="F53" s="317">
        <v>0.79816601745944316</v>
      </c>
    </row>
    <row r="54" spans="2:6" s="161" customFormat="1" x14ac:dyDescent="0.25">
      <c r="B54" s="322">
        <v>2</v>
      </c>
      <c r="C54" s="323" t="s">
        <v>607</v>
      </c>
      <c r="D54" s="324" t="s">
        <v>265</v>
      </c>
      <c r="E54" s="325" t="s">
        <v>208</v>
      </c>
      <c r="F54" s="317">
        <v>0.97282777146399424</v>
      </c>
    </row>
    <row r="55" spans="2:6" s="161" customFormat="1" x14ac:dyDescent="0.25">
      <c r="B55" s="322">
        <v>3</v>
      </c>
      <c r="C55" s="323" t="s">
        <v>608</v>
      </c>
      <c r="D55" s="324" t="s">
        <v>293</v>
      </c>
      <c r="E55" s="325" t="s">
        <v>208</v>
      </c>
      <c r="F55" s="317">
        <v>1</v>
      </c>
    </row>
    <row r="56" spans="2:6" s="161" customFormat="1" x14ac:dyDescent="0.25">
      <c r="B56" s="322">
        <v>4</v>
      </c>
      <c r="C56" s="323" t="s">
        <v>609</v>
      </c>
      <c r="D56" s="324" t="s">
        <v>221</v>
      </c>
      <c r="E56" s="325" t="s">
        <v>209</v>
      </c>
      <c r="F56" s="317">
        <v>0.77897272391080552</v>
      </c>
    </row>
    <row r="57" spans="2:6" s="161" customFormat="1" x14ac:dyDescent="0.25">
      <c r="B57" s="322">
        <v>5</v>
      </c>
      <c r="C57" s="323" t="s">
        <v>610</v>
      </c>
      <c r="D57" s="324" t="s">
        <v>311</v>
      </c>
      <c r="E57" s="325" t="s">
        <v>208</v>
      </c>
      <c r="F57" s="317">
        <v>0.92067396198278173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customWidth="1" outlineLevel="1"/>
    <col min="44" max="44" width="6.44140625" style="168" customWidth="1" outlineLevel="1"/>
    <col min="45" max="45" width="6.6640625" style="168" customWidth="1" outlineLevel="1"/>
    <col min="46" max="46" width="8.6640625" style="168" customWidth="1" outlineLevel="1"/>
    <col min="47" max="47" width="3.109375" style="168" customWidth="1" outlineLevel="1"/>
    <col min="48" max="56" width="9.109375" style="168" hidden="1" customWidth="1" outlineLevel="2"/>
    <col min="57" max="57" width="5.44140625" style="168" customWidth="1" outlineLevel="1" collapsed="1"/>
    <col min="58" max="58" width="36.88671875" style="168" customWidth="1" outlineLevel="1"/>
    <col min="59" max="59" width="6.44140625" style="168" customWidth="1" outlineLevel="1"/>
    <col min="60" max="60" width="3.44140625" style="168" customWidth="1" outlineLevel="1"/>
    <col min="61" max="61" width="9.109375" style="168" customWidth="1" outlineLevel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-- 2022 Q2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 ca="1">G2</f>
        <v>Reg_Percent_2021</v>
      </c>
      <c r="G2" s="172" t="s">
        <v>207</v>
      </c>
      <c r="AJ2" s="173" t="str">
        <f ca="1">AJ4 &amp; AJ3</f>
        <v>'Credit_2022Q1'!d:d</v>
      </c>
      <c r="AK2" s="173" t="str">
        <f ca="1">AK4 &amp; AK3</f>
        <v>'Credit_2022Q1'!b1</v>
      </c>
      <c r="AL2" s="173" t="str">
        <f ca="1">AL4 &amp; AL3</f>
        <v>'Credit_2022Q1'!c1</v>
      </c>
      <c r="AQ2" s="169"/>
    </row>
    <row r="3" spans="1:61" ht="18" hidden="1" outlineLevel="1" x14ac:dyDescent="0.25">
      <c r="A3" s="167"/>
      <c r="E3" s="174" t="str">
        <f ca="1">"'" &amp; E2 &amp; "'!"</f>
        <v>'Reg_Percent_2021'!</v>
      </c>
      <c r="G3" s="168" t="str">
        <f ca="1">"'" &amp; G2 &amp; "'!"</f>
        <v>'Reg_Percent_2021'!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 ca="1">$AQ$5</f>
        <v>'Credit_2022Q1'!</v>
      </c>
      <c r="AK4" s="169" t="str">
        <f t="shared" ref="AK4:AL4" ca="1" si="0">$AQ$5</f>
        <v>'Credit_2022Q1'!</v>
      </c>
      <c r="AL4" s="169" t="str">
        <f t="shared" ca="1" si="0"/>
        <v>'Credit_2022Q1'!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 ca="1"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(8)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216</v>
      </c>
    </row>
    <row r="6" spans="1:61" ht="28.5" customHeight="1" x14ac:dyDescent="0.25">
      <c r="A6" s="219" t="s">
        <v>217</v>
      </c>
      <c r="B6" s="220" t="s">
        <v>218</v>
      </c>
      <c r="C6" s="249" t="s">
        <v>219</v>
      </c>
      <c r="D6" s="221"/>
      <c r="E6" s="222">
        <f ca="1">INDIRECT( E3 &amp; G1 )</f>
        <v>44561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248</v>
      </c>
      <c r="B14" s="224" t="s">
        <v>144</v>
      </c>
      <c r="C14" s="224">
        <v>20</v>
      </c>
      <c r="D14" s="224" t="s">
        <v>249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149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3.8" x14ac:dyDescent="0.2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3.8" x14ac:dyDescent="0.2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258</v>
      </c>
      <c r="K16" s="232"/>
      <c r="L16" s="369">
        <f t="array" aca="1" ref="L16" ca="1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3.8" x14ac:dyDescent="0.25">
      <c r="A17" s="223" t="s">
        <v>230</v>
      </c>
      <c r="B17" s="224" t="s">
        <v>145</v>
      </c>
      <c r="C17" s="224">
        <v>19</v>
      </c>
      <c r="D17" s="224" t="s">
        <v>231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3.8" x14ac:dyDescent="0.25">
      <c r="A18" s="223" t="s">
        <v>238</v>
      </c>
      <c r="B18" s="224" t="s">
        <v>145</v>
      </c>
      <c r="C18" s="224">
        <v>19</v>
      </c>
      <c r="D18" s="224" t="s">
        <v>239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3.8" x14ac:dyDescent="0.25">
      <c r="A19" s="223" t="s">
        <v>250</v>
      </c>
      <c r="B19" s="224" t="s">
        <v>145</v>
      </c>
      <c r="C19" s="224">
        <v>19</v>
      </c>
      <c r="D19" s="224" t="s">
        <v>251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3.8" x14ac:dyDescent="0.2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3.8" x14ac:dyDescent="0.25">
      <c r="A21" s="223" t="s">
        <v>261</v>
      </c>
      <c r="B21" s="224" t="s">
        <v>145</v>
      </c>
      <c r="C21" s="224">
        <v>19</v>
      </c>
      <c r="D21" s="224" t="s">
        <v>262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3.8" x14ac:dyDescent="0.25">
      <c r="A22" s="223" t="s">
        <v>263</v>
      </c>
      <c r="B22" s="224" t="s">
        <v>145</v>
      </c>
      <c r="C22" s="224">
        <v>19</v>
      </c>
      <c r="D22" s="224" t="s">
        <v>199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3.8" x14ac:dyDescent="0.2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3.8" x14ac:dyDescent="0.2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3.8" x14ac:dyDescent="0.25">
      <c r="A25" s="223" t="s">
        <v>272</v>
      </c>
      <c r="B25" s="224" t="s">
        <v>145</v>
      </c>
      <c r="C25" s="224">
        <v>19</v>
      </c>
      <c r="D25" s="224" t="s">
        <v>273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3.8" x14ac:dyDescent="0.25">
      <c r="A26" s="223" t="s">
        <v>274</v>
      </c>
      <c r="B26" s="224" t="s">
        <v>145</v>
      </c>
      <c r="C26" s="224">
        <v>19</v>
      </c>
      <c r="D26" s="224" t="s">
        <v>275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3.8" x14ac:dyDescent="0.25">
      <c r="A27" s="223" t="s">
        <v>276</v>
      </c>
      <c r="B27" s="224" t="s">
        <v>145</v>
      </c>
      <c r="C27" s="224">
        <v>19</v>
      </c>
      <c r="D27" s="224" t="s">
        <v>277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3.8" x14ac:dyDescent="0.25">
      <c r="A28" s="223" t="s">
        <v>278</v>
      </c>
      <c r="B28" s="224" t="s">
        <v>145</v>
      </c>
      <c r="C28" s="224">
        <v>19</v>
      </c>
      <c r="D28" s="224" t="s">
        <v>279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3.8" x14ac:dyDescent="0.25">
      <c r="A29" s="223" t="s">
        <v>282</v>
      </c>
      <c r="B29" s="224" t="s">
        <v>145</v>
      </c>
      <c r="C29" s="224">
        <v>19</v>
      </c>
      <c r="D29" s="224" t="s">
        <v>283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3.8" x14ac:dyDescent="0.25">
      <c r="A30" s="223" t="s">
        <v>286</v>
      </c>
      <c r="B30" s="224" t="s">
        <v>145</v>
      </c>
      <c r="C30" s="224">
        <v>19</v>
      </c>
      <c r="D30" s="224" t="s">
        <v>287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3.8" x14ac:dyDescent="0.25">
      <c r="A31" s="223" t="s">
        <v>290</v>
      </c>
      <c r="B31" s="224" t="s">
        <v>145</v>
      </c>
      <c r="C31" s="224">
        <v>19</v>
      </c>
      <c r="D31" s="224" t="s">
        <v>291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3.8" x14ac:dyDescent="0.2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3.8" x14ac:dyDescent="0.2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3.8" x14ac:dyDescent="0.25">
      <c r="A34" s="223" t="s">
        <v>298</v>
      </c>
      <c r="B34" s="224" t="s">
        <v>145</v>
      </c>
      <c r="C34" s="224">
        <v>19</v>
      </c>
      <c r="D34" s="224" t="s">
        <v>299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145</v>
      </c>
      <c r="AS39" s="207">
        <v>19</v>
      </c>
      <c r="AT39" s="207" t="s">
        <v>287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280</v>
      </c>
      <c r="B45" s="224" t="s">
        <v>147</v>
      </c>
      <c r="C45" s="224">
        <v>17</v>
      </c>
      <c r="D45" s="224" t="s">
        <v>281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3.8" x14ac:dyDescent="0.2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145</v>
      </c>
      <c r="AS46" s="207">
        <v>19</v>
      </c>
      <c r="AT46" s="207" t="s">
        <v>299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8" x14ac:dyDescent="0.2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8" x14ac:dyDescent="0.25">
      <c r="A48" s="223" t="s">
        <v>264</v>
      </c>
      <c r="B48" s="224" t="s">
        <v>178</v>
      </c>
      <c r="C48" s="224">
        <v>16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3.8" x14ac:dyDescent="0.2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95" priority="31" stopIfTrue="1">
      <formula>IF( $AH7 = 1, TRUE, FALSE )</formula>
    </cfRule>
    <cfRule type="expression" dxfId="1594" priority="32" stopIfTrue="1">
      <formula>IF( $AG7 = 1, TRUE, FALSE )</formula>
    </cfRule>
    <cfRule type="expression" dxfId="1593" priority="33" stopIfTrue="1">
      <formula>IF( $AF7 = 1, TRUE, FALSE )</formula>
    </cfRule>
  </conditionalFormatting>
  <conditionalFormatting sqref="A67:E67">
    <cfRule type="expression" dxfId="1592" priority="34" stopIfTrue="1">
      <formula>IF( $AH67 = 1, TRUE, FALSE )</formula>
    </cfRule>
    <cfRule type="expression" dxfId="1591" priority="35" stopIfTrue="1">
      <formula>IF( $AG67 = 1, TRUE, FALSE )</formula>
    </cfRule>
    <cfRule type="expression" dxfId="1590" priority="36" stopIfTrue="1">
      <formula>IF( $AF67 = 1, TRUE, FALSE )</formula>
    </cfRule>
  </conditionalFormatting>
  <conditionalFormatting sqref="A66:E66">
    <cfRule type="expression" dxfId="1589" priority="28" stopIfTrue="1">
      <formula>IF( $AH66 = 1, TRUE, FALSE )</formula>
    </cfRule>
    <cfRule type="expression" dxfId="1588" priority="29" stopIfTrue="1">
      <formula>IF( $AG66 = 1, TRUE, FALSE )</formula>
    </cfRule>
    <cfRule type="expression" dxfId="1587" priority="30" stopIfTrue="1">
      <formula>IF( $AF66 = 1, TRUE, FALSE )</formula>
    </cfRule>
  </conditionalFormatting>
  <conditionalFormatting sqref="A8:D33 B7:D7 A35:D58">
    <cfRule type="expression" dxfId="1586" priority="25" stopIfTrue="1">
      <formula>IF( $AH7 = 1, TRUE, FALSE )</formula>
    </cfRule>
    <cfRule type="expression" dxfId="1585" priority="26" stopIfTrue="1">
      <formula>IF( $AG7 = 1, TRUE, FALSE )</formula>
    </cfRule>
    <cfRule type="expression" dxfId="1584" priority="27" stopIfTrue="1">
      <formula>IF( $AF7 = 1, TRUE, FALSE )</formula>
    </cfRule>
  </conditionalFormatting>
  <conditionalFormatting sqref="A59:D59">
    <cfRule type="expression" dxfId="1583" priority="22" stopIfTrue="1">
      <formula>IF( $AH59 = 1, TRUE, FALSE )</formula>
    </cfRule>
    <cfRule type="expression" dxfId="1582" priority="23" stopIfTrue="1">
      <formula>IF( $AG59 = 1, TRUE, FALSE )</formula>
    </cfRule>
    <cfRule type="expression" dxfId="1581" priority="24" stopIfTrue="1">
      <formula>IF( $AF59 = 1, TRUE, FALSE )</formula>
    </cfRule>
  </conditionalFormatting>
  <conditionalFormatting sqref="A61:D65">
    <cfRule type="expression" dxfId="1580" priority="19" stopIfTrue="1">
      <formula>IF( $AH61 = 1, TRUE, FALSE )</formula>
    </cfRule>
    <cfRule type="expression" dxfId="1579" priority="20" stopIfTrue="1">
      <formula>IF( $AG61 = 1, TRUE, FALSE )</formula>
    </cfRule>
    <cfRule type="expression" dxfId="1578" priority="21" stopIfTrue="1">
      <formula>IF( $AF61 = 1, TRUE, FALSE )</formula>
    </cfRule>
  </conditionalFormatting>
  <conditionalFormatting sqref="U8:U12">
    <cfRule type="cellIs" dxfId="1577" priority="18" operator="equal">
      <formula>0</formula>
    </cfRule>
  </conditionalFormatting>
  <conditionalFormatting sqref="O8:O12 Q8:Q12">
    <cfRule type="cellIs" dxfId="1576" priority="17" operator="equal">
      <formula>0</formula>
    </cfRule>
  </conditionalFormatting>
  <conditionalFormatting sqref="V8:V12">
    <cfRule type="cellIs" dxfId="1575" priority="16" operator="equal">
      <formula>0</formula>
    </cfRule>
  </conditionalFormatting>
  <conditionalFormatting sqref="S8:S12">
    <cfRule type="cellIs" dxfId="1574" priority="14" operator="equal">
      <formula>0</formula>
    </cfRule>
  </conditionalFormatting>
  <conditionalFormatting sqref="R8:R12">
    <cfRule type="cellIs" dxfId="1573" priority="15" operator="equal">
      <formula>0</formula>
    </cfRule>
  </conditionalFormatting>
  <conditionalFormatting sqref="P8:P12">
    <cfRule type="cellIs" dxfId="1572" priority="13" operator="equal">
      <formula>0</formula>
    </cfRule>
  </conditionalFormatting>
  <conditionalFormatting sqref="M8:M12">
    <cfRule type="cellIs" dxfId="1571" priority="12" operator="equal">
      <formula>0</formula>
    </cfRule>
  </conditionalFormatting>
  <conditionalFormatting sqref="T8:T12">
    <cfRule type="cellIs" dxfId="1570" priority="11" operator="equal">
      <formula>0</formula>
    </cfRule>
  </conditionalFormatting>
  <conditionalFormatting sqref="N8:N12">
    <cfRule type="cellIs" dxfId="1569" priority="10" operator="equal">
      <formula>0</formula>
    </cfRule>
  </conditionalFormatting>
  <conditionalFormatting sqref="K8:K12">
    <cfRule type="cellIs" dxfId="1568" priority="9" operator="equal">
      <formula>0</formula>
    </cfRule>
  </conditionalFormatting>
  <conditionalFormatting sqref="I8:I12">
    <cfRule type="cellIs" dxfId="1567" priority="8" operator="equal">
      <formula>0</formula>
    </cfRule>
  </conditionalFormatting>
  <conditionalFormatting sqref="W8:W12">
    <cfRule type="cellIs" dxfId="1566" priority="7" operator="equal">
      <formula>0</formula>
    </cfRule>
  </conditionalFormatting>
  <conditionalFormatting sqref="A7">
    <cfRule type="expression" dxfId="1565" priority="4" stopIfTrue="1">
      <formula>IF( $AH7 = 1, TRUE, FALSE )</formula>
    </cfRule>
    <cfRule type="expression" dxfId="1564" priority="5" stopIfTrue="1">
      <formula>IF( $AG7 = 1, TRUE, FALSE )</formula>
    </cfRule>
    <cfRule type="expression" dxfId="1563" priority="6" stopIfTrue="1">
      <formula>IF( $AF7 = 1, TRUE, FALSE )</formula>
    </cfRule>
  </conditionalFormatting>
  <conditionalFormatting sqref="A34:D34">
    <cfRule type="expression" dxfId="1562" priority="1" stopIfTrue="1">
      <formula>IF( $AH34 = 1, TRUE, FALSE )</formula>
    </cfRule>
    <cfRule type="expression" dxfId="1561" priority="2" stopIfTrue="1">
      <formula>IF( $AG34 = 1, TRUE, FALSE )</formula>
    </cfRule>
    <cfRule type="expression" dxfId="156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602</v>
      </c>
      <c r="C1" s="154"/>
    </row>
    <row r="3" spans="1:6" x14ac:dyDescent="0.25">
      <c r="E3" s="165">
        <v>43830</v>
      </c>
    </row>
    <row r="5" spans="1:6" s="156" customFormat="1" ht="27.6" x14ac:dyDescent="0.25">
      <c r="C5" s="157" t="s">
        <v>217</v>
      </c>
      <c r="D5" s="158" t="s">
        <v>603</v>
      </c>
      <c r="E5" s="159" t="s">
        <v>604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222</v>
      </c>
      <c r="D7" s="324" t="s">
        <v>223</v>
      </c>
      <c r="E7" s="325" t="s">
        <v>209</v>
      </c>
      <c r="F7" s="317">
        <v>0.75341066608302332</v>
      </c>
    </row>
    <row r="8" spans="1:6" s="161" customFormat="1" x14ac:dyDescent="0.25">
      <c r="B8" s="322">
        <v>2</v>
      </c>
      <c r="C8" s="323" t="s">
        <v>224</v>
      </c>
      <c r="D8" s="324" t="s">
        <v>225</v>
      </c>
      <c r="E8" s="325" t="s">
        <v>208</v>
      </c>
      <c r="F8" s="317">
        <v>0.89382480973851397</v>
      </c>
    </row>
    <row r="9" spans="1:6" s="161" customFormat="1" x14ac:dyDescent="0.2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2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0.93724659813973221</v>
      </c>
    </row>
    <row r="11" spans="1:6" s="161" customFormat="1" x14ac:dyDescent="0.2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0.67555788005578798</v>
      </c>
    </row>
    <row r="12" spans="1:6" s="161" customFormat="1" x14ac:dyDescent="0.2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0.98392179080292563</v>
      </c>
    </row>
    <row r="13" spans="1:6" s="161" customFormat="1" x14ac:dyDescent="0.2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0.91729330470491532</v>
      </c>
    </row>
    <row r="14" spans="1:6" s="161" customFormat="1" x14ac:dyDescent="0.25">
      <c r="B14" s="322">
        <v>8</v>
      </c>
      <c r="C14" s="323" t="s">
        <v>254</v>
      </c>
      <c r="D14" s="324" t="s">
        <v>255</v>
      </c>
      <c r="E14" s="325" t="s">
        <v>208</v>
      </c>
      <c r="F14" s="317">
        <v>0.79954287649200029</v>
      </c>
    </row>
    <row r="15" spans="1:6" s="161" customFormat="1" x14ac:dyDescent="0.2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0.8782650817900659</v>
      </c>
    </row>
    <row r="16" spans="1:6" s="161" customFormat="1" x14ac:dyDescent="0.2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0.83854749565247333</v>
      </c>
    </row>
    <row r="17" spans="2:6" s="161" customFormat="1" x14ac:dyDescent="0.25">
      <c r="B17" s="322">
        <v>11</v>
      </c>
      <c r="C17" s="323" t="s">
        <v>263</v>
      </c>
      <c r="D17" s="324" t="s">
        <v>199</v>
      </c>
      <c r="E17" s="325" t="s">
        <v>208</v>
      </c>
      <c r="F17" s="317">
        <v>0.81665445234489309</v>
      </c>
    </row>
    <row r="18" spans="2:6" s="161" customFormat="1" x14ac:dyDescent="0.2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0.76827050264550267</v>
      </c>
    </row>
    <row r="19" spans="2:6" s="161" customFormat="1" x14ac:dyDescent="0.2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0.93715188550416539</v>
      </c>
    </row>
    <row r="20" spans="2:6" s="161" customFormat="1" x14ac:dyDescent="0.2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25">
      <c r="B21" s="322">
        <v>15</v>
      </c>
      <c r="C21" s="323" t="s">
        <v>338</v>
      </c>
      <c r="D21" s="324" t="s">
        <v>341</v>
      </c>
      <c r="E21" s="325" t="s">
        <v>208</v>
      </c>
      <c r="F21" s="317">
        <v>1</v>
      </c>
    </row>
    <row r="22" spans="2:6" s="161" customFormat="1" x14ac:dyDescent="0.25">
      <c r="B22" s="322">
        <v>16</v>
      </c>
      <c r="C22" s="323" t="s">
        <v>272</v>
      </c>
      <c r="D22" s="324" t="s">
        <v>273</v>
      </c>
      <c r="E22" s="325" t="s">
        <v>208</v>
      </c>
      <c r="F22" s="317">
        <v>0.95811902239722313</v>
      </c>
    </row>
    <row r="23" spans="2:6" s="161" customFormat="1" x14ac:dyDescent="0.25">
      <c r="B23" s="322">
        <v>17</v>
      </c>
      <c r="C23" s="323" t="s">
        <v>235</v>
      </c>
      <c r="D23" s="324" t="s">
        <v>236</v>
      </c>
      <c r="E23" s="325" t="s">
        <v>208</v>
      </c>
      <c r="F23" s="317">
        <v>1</v>
      </c>
    </row>
    <row r="24" spans="2:6" s="161" customFormat="1" x14ac:dyDescent="0.25">
      <c r="B24" s="322">
        <v>18</v>
      </c>
      <c r="C24" s="323" t="s">
        <v>240</v>
      </c>
      <c r="D24" s="324" t="s">
        <v>241</v>
      </c>
      <c r="E24" s="325" t="s">
        <v>208</v>
      </c>
      <c r="F24" s="317">
        <v>0.91896430580600108</v>
      </c>
    </row>
    <row r="25" spans="2:6" s="161" customFormat="1" x14ac:dyDescent="0.25">
      <c r="B25" s="322">
        <v>19</v>
      </c>
      <c r="C25" s="323" t="s">
        <v>274</v>
      </c>
      <c r="D25" s="324" t="s">
        <v>275</v>
      </c>
      <c r="E25" s="325" t="s">
        <v>209</v>
      </c>
      <c r="F25" s="317">
        <v>0.62081022908215111</v>
      </c>
    </row>
    <row r="26" spans="2:6" s="161" customFormat="1" x14ac:dyDescent="0.25">
      <c r="B26" s="322">
        <v>20</v>
      </c>
      <c r="C26" s="323" t="s">
        <v>280</v>
      </c>
      <c r="D26" s="324" t="s">
        <v>281</v>
      </c>
      <c r="E26" s="325" t="s">
        <v>208</v>
      </c>
      <c r="F26" s="317">
        <v>0.97522517198174985</v>
      </c>
    </row>
    <row r="27" spans="2:6" s="161" customFormat="1" x14ac:dyDescent="0.25">
      <c r="B27" s="322">
        <v>21</v>
      </c>
      <c r="C27" s="323" t="s">
        <v>284</v>
      </c>
      <c r="D27" s="324" t="s">
        <v>285</v>
      </c>
      <c r="E27" s="325" t="s">
        <v>209</v>
      </c>
      <c r="F27" s="317">
        <v>0.4647919488701952</v>
      </c>
    </row>
    <row r="28" spans="2:6" s="161" customFormat="1" x14ac:dyDescent="0.25">
      <c r="B28" s="322">
        <v>22</v>
      </c>
      <c r="C28" s="323" t="s">
        <v>288</v>
      </c>
      <c r="D28" s="324" t="s">
        <v>289</v>
      </c>
      <c r="E28" s="325" t="s">
        <v>208</v>
      </c>
      <c r="F28" s="317">
        <v>0.97785912517931628</v>
      </c>
    </row>
    <row r="29" spans="2:6" s="161" customFormat="1" x14ac:dyDescent="0.25">
      <c r="B29" s="322">
        <v>23</v>
      </c>
      <c r="C29" s="323" t="s">
        <v>276</v>
      </c>
      <c r="D29" s="324" t="s">
        <v>277</v>
      </c>
      <c r="E29" s="325" t="s">
        <v>209</v>
      </c>
      <c r="F29" s="317">
        <v>0.55383656431637451</v>
      </c>
    </row>
    <row r="30" spans="2:6" s="161" customFormat="1" x14ac:dyDescent="0.25">
      <c r="B30" s="322">
        <v>24</v>
      </c>
      <c r="C30" s="323" t="s">
        <v>313</v>
      </c>
      <c r="D30" s="324" t="s">
        <v>471</v>
      </c>
      <c r="E30" s="325" t="s">
        <v>208</v>
      </c>
      <c r="F30" s="317">
        <v>0.85890230123593436</v>
      </c>
    </row>
    <row r="31" spans="2:6" s="161" customFormat="1" x14ac:dyDescent="0.25">
      <c r="B31" s="322">
        <v>25</v>
      </c>
      <c r="C31" s="323" t="s">
        <v>245</v>
      </c>
      <c r="D31" s="324" t="s">
        <v>246</v>
      </c>
      <c r="E31" s="325" t="s">
        <v>209</v>
      </c>
      <c r="F31" s="317">
        <v>0.53566542896228264</v>
      </c>
    </row>
    <row r="32" spans="2:6" s="161" customFormat="1" x14ac:dyDescent="0.25">
      <c r="B32" s="322">
        <v>26</v>
      </c>
      <c r="C32" s="323" t="s">
        <v>278</v>
      </c>
      <c r="D32" s="324" t="s">
        <v>279</v>
      </c>
      <c r="E32" s="325" t="s">
        <v>208</v>
      </c>
      <c r="F32" s="317">
        <v>0.89374575238969445</v>
      </c>
    </row>
    <row r="33" spans="2:6" s="161" customFormat="1" x14ac:dyDescent="0.25">
      <c r="B33" s="322">
        <v>27</v>
      </c>
      <c r="C33" s="323" t="s">
        <v>302</v>
      </c>
      <c r="D33" s="324" t="s">
        <v>303</v>
      </c>
      <c r="E33" s="325" t="s">
        <v>208</v>
      </c>
      <c r="F33" s="317">
        <v>0.99916164337740787</v>
      </c>
    </row>
    <row r="34" spans="2:6" s="161" customFormat="1" x14ac:dyDescent="0.25">
      <c r="B34" s="322">
        <v>28</v>
      </c>
      <c r="C34" s="323" t="s">
        <v>282</v>
      </c>
      <c r="D34" s="324" t="s">
        <v>283</v>
      </c>
      <c r="E34" s="325" t="s">
        <v>208</v>
      </c>
      <c r="F34" s="317">
        <v>0.91403535825403892</v>
      </c>
    </row>
    <row r="35" spans="2:6" s="161" customFormat="1" x14ac:dyDescent="0.25">
      <c r="B35" s="322">
        <v>29</v>
      </c>
      <c r="C35" s="323" t="s">
        <v>304</v>
      </c>
      <c r="D35" s="324" t="s">
        <v>305</v>
      </c>
      <c r="E35" s="325" t="s">
        <v>208</v>
      </c>
      <c r="F35" s="317">
        <v>0.8495466430916675</v>
      </c>
    </row>
    <row r="36" spans="2:6" s="161" customFormat="1" x14ac:dyDescent="0.25">
      <c r="B36" s="322">
        <v>30</v>
      </c>
      <c r="C36" s="323" t="s">
        <v>306</v>
      </c>
      <c r="D36" s="324" t="s">
        <v>307</v>
      </c>
      <c r="E36" s="325" t="s">
        <v>208</v>
      </c>
      <c r="F36" s="317">
        <v>1</v>
      </c>
    </row>
    <row r="37" spans="2:6" s="161" customFormat="1" x14ac:dyDescent="0.25">
      <c r="B37" s="322">
        <v>31</v>
      </c>
      <c r="C37" s="323" t="s">
        <v>286</v>
      </c>
      <c r="D37" s="324" t="s">
        <v>287</v>
      </c>
      <c r="E37" s="325" t="s">
        <v>208</v>
      </c>
      <c r="F37" s="317">
        <v>0.99412724988198942</v>
      </c>
    </row>
    <row r="38" spans="2:6" s="161" customFormat="1" x14ac:dyDescent="0.25">
      <c r="B38" s="322">
        <v>32</v>
      </c>
      <c r="C38" s="323" t="s">
        <v>308</v>
      </c>
      <c r="D38" s="324" t="s">
        <v>309</v>
      </c>
      <c r="E38" s="325" t="s">
        <v>208</v>
      </c>
      <c r="F38" s="317">
        <v>1</v>
      </c>
    </row>
    <row r="39" spans="2:6" s="161" customFormat="1" x14ac:dyDescent="0.25">
      <c r="B39" s="322">
        <v>33</v>
      </c>
      <c r="C39" s="323" t="s">
        <v>290</v>
      </c>
      <c r="D39" s="324" t="s">
        <v>291</v>
      </c>
      <c r="E39" s="325" t="s">
        <v>208</v>
      </c>
      <c r="F39" s="317">
        <v>1</v>
      </c>
    </row>
    <row r="40" spans="2:6" s="161" customFormat="1" x14ac:dyDescent="0.25">
      <c r="B40" s="322">
        <v>34</v>
      </c>
      <c r="C40" s="323" t="s">
        <v>248</v>
      </c>
      <c r="D40" s="324" t="s">
        <v>249</v>
      </c>
      <c r="E40" s="325" t="s">
        <v>208</v>
      </c>
      <c r="F40" s="317">
        <v>0.98811295971978985</v>
      </c>
    </row>
    <row r="41" spans="2:6" s="161" customFormat="1" x14ac:dyDescent="0.25">
      <c r="B41" s="322">
        <v>35</v>
      </c>
      <c r="C41" s="323" t="s">
        <v>294</v>
      </c>
      <c r="D41" s="324" t="s">
        <v>295</v>
      </c>
      <c r="E41" s="325" t="s">
        <v>209</v>
      </c>
      <c r="F41" s="317">
        <v>0.69696207835742718</v>
      </c>
    </row>
    <row r="42" spans="2:6" s="161" customFormat="1" x14ac:dyDescent="0.25">
      <c r="B42" s="322">
        <v>36</v>
      </c>
      <c r="C42" s="323" t="s">
        <v>296</v>
      </c>
      <c r="D42" s="324" t="s">
        <v>297</v>
      </c>
      <c r="E42" s="325" t="s">
        <v>209</v>
      </c>
      <c r="F42" s="317">
        <v>0.75814539639907796</v>
      </c>
    </row>
    <row r="43" spans="2:6" s="161" customFormat="1" x14ac:dyDescent="0.25">
      <c r="B43" s="322">
        <v>37</v>
      </c>
      <c r="C43" s="323" t="s">
        <v>298</v>
      </c>
      <c r="D43" s="324" t="s">
        <v>299</v>
      </c>
      <c r="E43" s="325" t="s">
        <v>208</v>
      </c>
      <c r="F43" s="317">
        <v>0.86562763268744736</v>
      </c>
    </row>
    <row r="44" spans="2:6" s="161" customFormat="1" x14ac:dyDescent="0.25">
      <c r="B44" s="322">
        <v>38</v>
      </c>
      <c r="C44" s="323" t="s">
        <v>300</v>
      </c>
      <c r="D44" s="324" t="s">
        <v>301</v>
      </c>
      <c r="E44" s="325" t="s">
        <v>208</v>
      </c>
      <c r="F44" s="317">
        <v>0.98672308141231391</v>
      </c>
    </row>
    <row r="45" spans="2:6" s="161" customFormat="1" x14ac:dyDescent="0.25">
      <c r="B45" s="322">
        <v>39</v>
      </c>
      <c r="C45" s="323" t="s">
        <v>605</v>
      </c>
      <c r="D45" s="324" t="s">
        <v>253</v>
      </c>
      <c r="E45" s="325" t="s">
        <v>208</v>
      </c>
      <c r="F45" s="317">
        <v>0.96785287166898415</v>
      </c>
    </row>
    <row r="46" spans="2:6" s="161" customFormat="1" x14ac:dyDescent="0.25">
      <c r="B46" s="322">
        <v>40</v>
      </c>
      <c r="C46" s="323" t="s">
        <v>256</v>
      </c>
      <c r="D46" s="324" t="s">
        <v>257</v>
      </c>
      <c r="E46" s="325" t="s">
        <v>208</v>
      </c>
      <c r="F46" s="317">
        <v>0.99254249046132492</v>
      </c>
    </row>
    <row r="47" spans="2:6" s="161" customFormat="1" x14ac:dyDescent="0.25">
      <c r="B47" s="322"/>
      <c r="C47" s="323"/>
      <c r="D47" s="324"/>
      <c r="E47" s="325"/>
      <c r="F47" s="317"/>
    </row>
    <row r="48" spans="2:6" s="161" customFormat="1" x14ac:dyDescent="0.25">
      <c r="B48" s="322"/>
      <c r="C48" s="323"/>
      <c r="D48" s="324"/>
      <c r="E48" s="325"/>
      <c r="F48" s="317"/>
    </row>
    <row r="49" spans="2:6" s="161" customFormat="1" x14ac:dyDescent="0.25">
      <c r="B49" s="322"/>
      <c r="C49" s="323"/>
      <c r="D49" s="324"/>
      <c r="E49" s="325"/>
      <c r="F49" s="317"/>
    </row>
    <row r="50" spans="2:6" s="161" customFormat="1" x14ac:dyDescent="0.25">
      <c r="B50" s="322"/>
      <c r="C50" s="323"/>
      <c r="D50" s="324"/>
      <c r="E50" s="325"/>
      <c r="F50" s="317"/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606</v>
      </c>
      <c r="D53" s="324" t="s">
        <v>260</v>
      </c>
      <c r="E53" s="325" t="s">
        <v>208</v>
      </c>
      <c r="F53" s="317">
        <v>0.79816601745944316</v>
      </c>
    </row>
    <row r="54" spans="2:6" s="161" customFormat="1" x14ac:dyDescent="0.25">
      <c r="B54" s="322">
        <v>2</v>
      </c>
      <c r="C54" s="323" t="s">
        <v>607</v>
      </c>
      <c r="D54" s="324" t="s">
        <v>265</v>
      </c>
      <c r="E54" s="325" t="s">
        <v>208</v>
      </c>
      <c r="F54" s="317">
        <v>0.97282777146399424</v>
      </c>
    </row>
    <row r="55" spans="2:6" s="161" customFormat="1" x14ac:dyDescent="0.25">
      <c r="B55" s="322">
        <v>3</v>
      </c>
      <c r="C55" s="323" t="s">
        <v>608</v>
      </c>
      <c r="D55" s="324" t="s">
        <v>293</v>
      </c>
      <c r="E55" s="325" t="s">
        <v>208</v>
      </c>
      <c r="F55" s="317">
        <v>1</v>
      </c>
    </row>
    <row r="56" spans="2:6" s="161" customFormat="1" x14ac:dyDescent="0.25">
      <c r="B56" s="322">
        <v>4</v>
      </c>
      <c r="C56" s="323" t="s">
        <v>609</v>
      </c>
      <c r="D56" s="324" t="s">
        <v>221</v>
      </c>
      <c r="E56" s="325" t="s">
        <v>209</v>
      </c>
      <c r="F56" s="317">
        <v>0.77897272391080552</v>
      </c>
    </row>
    <row r="57" spans="2:6" s="161" customFormat="1" x14ac:dyDescent="0.25">
      <c r="B57" s="322">
        <v>5</v>
      </c>
      <c r="C57" s="323" t="s">
        <v>610</v>
      </c>
      <c r="D57" s="324" t="s">
        <v>311</v>
      </c>
      <c r="E57" s="325" t="s">
        <v>208</v>
      </c>
      <c r="F57" s="317">
        <v>0.92067396198278173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602</v>
      </c>
      <c r="C1" s="154"/>
    </row>
    <row r="3" spans="1:6" x14ac:dyDescent="0.25">
      <c r="E3" s="165">
        <v>43465</v>
      </c>
    </row>
    <row r="5" spans="1:6" s="156" customFormat="1" ht="27.6" x14ac:dyDescent="0.25">
      <c r="C5" s="157" t="s">
        <v>217</v>
      </c>
      <c r="D5" s="158" t="s">
        <v>603</v>
      </c>
      <c r="E5" s="159" t="s">
        <v>604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222</v>
      </c>
      <c r="D7" s="324" t="s">
        <v>223</v>
      </c>
      <c r="E7" s="325" t="s">
        <v>209</v>
      </c>
      <c r="F7" s="317">
        <v>0.76524685382381419</v>
      </c>
    </row>
    <row r="8" spans="1:6" s="161" customFormat="1" x14ac:dyDescent="0.25">
      <c r="B8" s="322">
        <v>2</v>
      </c>
      <c r="C8" s="323" t="s">
        <v>224</v>
      </c>
      <c r="D8" s="324" t="s">
        <v>225</v>
      </c>
      <c r="E8" s="325" t="s">
        <v>208</v>
      </c>
      <c r="F8" s="317">
        <v>0.88621159082069223</v>
      </c>
    </row>
    <row r="9" spans="1:6" s="161" customFormat="1" x14ac:dyDescent="0.2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2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0.95201648770108205</v>
      </c>
    </row>
    <row r="11" spans="1:6" s="161" customFormat="1" x14ac:dyDescent="0.2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0.69136071128796595</v>
      </c>
    </row>
    <row r="12" spans="1:6" s="161" customFormat="1" x14ac:dyDescent="0.2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0.99109013007351743</v>
      </c>
    </row>
    <row r="13" spans="1:6" s="161" customFormat="1" x14ac:dyDescent="0.2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0.93619788356916167</v>
      </c>
    </row>
    <row r="14" spans="1:6" s="161" customFormat="1" x14ac:dyDescent="0.25">
      <c r="B14" s="322">
        <v>8</v>
      </c>
      <c r="C14" s="323" t="s">
        <v>254</v>
      </c>
      <c r="D14" s="324" t="s">
        <v>255</v>
      </c>
      <c r="E14" s="325" t="s">
        <v>209</v>
      </c>
      <c r="F14" s="317">
        <v>0.58541883086221558</v>
      </c>
    </row>
    <row r="15" spans="1:6" s="161" customFormat="1" x14ac:dyDescent="0.2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0.89220922173753514</v>
      </c>
    </row>
    <row r="16" spans="1:6" s="161" customFormat="1" x14ac:dyDescent="0.2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0.8352930267062314</v>
      </c>
    </row>
    <row r="17" spans="2:6" s="161" customFormat="1" x14ac:dyDescent="0.25">
      <c r="B17" s="322">
        <v>11</v>
      </c>
      <c r="C17" s="323" t="s">
        <v>263</v>
      </c>
      <c r="D17" s="324" t="s">
        <v>199</v>
      </c>
      <c r="E17" s="325" t="s">
        <v>208</v>
      </c>
      <c r="F17" s="317">
        <v>0.81665445234489309</v>
      </c>
    </row>
    <row r="18" spans="2:6" s="161" customFormat="1" x14ac:dyDescent="0.2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0.76827050264550267</v>
      </c>
    </row>
    <row r="19" spans="2:6" s="161" customFormat="1" x14ac:dyDescent="0.2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0.9443739938290423</v>
      </c>
    </row>
    <row r="20" spans="2:6" s="161" customFormat="1" x14ac:dyDescent="0.2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25">
      <c r="B21" s="322">
        <v>15</v>
      </c>
      <c r="C21" s="323" t="s">
        <v>338</v>
      </c>
      <c r="D21" s="324" t="s">
        <v>341</v>
      </c>
      <c r="E21" s="325" t="s">
        <v>208</v>
      </c>
      <c r="F21" s="317">
        <v>1</v>
      </c>
    </row>
    <row r="22" spans="2:6" s="161" customFormat="1" x14ac:dyDescent="0.25">
      <c r="B22" s="322">
        <v>16</v>
      </c>
      <c r="C22" s="323" t="s">
        <v>272</v>
      </c>
      <c r="D22" s="324" t="s">
        <v>273</v>
      </c>
      <c r="E22" s="325" t="s">
        <v>208</v>
      </c>
      <c r="F22" s="317">
        <v>0.9275423258872395</v>
      </c>
    </row>
    <row r="23" spans="2:6" s="161" customFormat="1" x14ac:dyDescent="0.25">
      <c r="B23" s="322">
        <v>17</v>
      </c>
      <c r="C23" s="323" t="s">
        <v>235</v>
      </c>
      <c r="D23" s="324" t="s">
        <v>236</v>
      </c>
      <c r="E23" s="325" t="s">
        <v>208</v>
      </c>
      <c r="F23" s="317">
        <v>1</v>
      </c>
    </row>
    <row r="24" spans="2:6" s="161" customFormat="1" x14ac:dyDescent="0.25">
      <c r="B24" s="322">
        <v>18</v>
      </c>
      <c r="C24" s="323" t="s">
        <v>240</v>
      </c>
      <c r="D24" s="324" t="s">
        <v>241</v>
      </c>
      <c r="E24" s="325" t="s">
        <v>208</v>
      </c>
      <c r="F24" s="317">
        <v>0.93038262132394411</v>
      </c>
    </row>
    <row r="25" spans="2:6" s="161" customFormat="1" x14ac:dyDescent="0.25">
      <c r="B25" s="322">
        <v>19</v>
      </c>
      <c r="C25" s="323" t="s">
        <v>274</v>
      </c>
      <c r="D25" s="324" t="s">
        <v>275</v>
      </c>
      <c r="E25" s="325" t="s">
        <v>209</v>
      </c>
      <c r="F25" s="317">
        <v>0.61466916250229808</v>
      </c>
    </row>
    <row r="26" spans="2:6" s="161" customFormat="1" x14ac:dyDescent="0.25">
      <c r="B26" s="322">
        <v>20</v>
      </c>
      <c r="C26" s="323" t="s">
        <v>280</v>
      </c>
      <c r="D26" s="324" t="s">
        <v>281</v>
      </c>
      <c r="E26" s="325" t="s">
        <v>208</v>
      </c>
      <c r="F26" s="317">
        <v>0.97581309437635722</v>
      </c>
    </row>
    <row r="27" spans="2:6" s="161" customFormat="1" x14ac:dyDescent="0.25">
      <c r="B27" s="322">
        <v>21</v>
      </c>
      <c r="C27" s="323" t="s">
        <v>284</v>
      </c>
      <c r="D27" s="324" t="s">
        <v>285</v>
      </c>
      <c r="E27" s="325" t="s">
        <v>209</v>
      </c>
      <c r="F27" s="317">
        <v>0.45539375571722057</v>
      </c>
    </row>
    <row r="28" spans="2:6" s="161" customFormat="1" x14ac:dyDescent="0.25">
      <c r="B28" s="322">
        <v>22</v>
      </c>
      <c r="C28" s="323" t="s">
        <v>288</v>
      </c>
      <c r="D28" s="324" t="s">
        <v>289</v>
      </c>
      <c r="E28" s="325" t="s">
        <v>208</v>
      </c>
      <c r="F28" s="317">
        <v>0.97989049867815681</v>
      </c>
    </row>
    <row r="29" spans="2:6" s="161" customFormat="1" x14ac:dyDescent="0.25">
      <c r="B29" s="322">
        <v>23</v>
      </c>
      <c r="C29" s="323" t="s">
        <v>276</v>
      </c>
      <c r="D29" s="324" t="s">
        <v>277</v>
      </c>
      <c r="E29" s="325" t="s">
        <v>209</v>
      </c>
      <c r="F29" s="317">
        <v>0.57092590128089005</v>
      </c>
    </row>
    <row r="30" spans="2:6" s="161" customFormat="1" x14ac:dyDescent="0.25">
      <c r="B30" s="322">
        <v>24</v>
      </c>
      <c r="C30" s="323" t="s">
        <v>313</v>
      </c>
      <c r="D30" s="324" t="s">
        <v>471</v>
      </c>
      <c r="E30" s="325" t="s">
        <v>208</v>
      </c>
      <c r="F30" s="317">
        <v>0.82291018184487918</v>
      </c>
    </row>
    <row r="31" spans="2:6" s="161" customFormat="1" x14ac:dyDescent="0.25">
      <c r="B31" s="322">
        <v>25</v>
      </c>
      <c r="C31" s="323" t="s">
        <v>245</v>
      </c>
      <c r="D31" s="324" t="s">
        <v>246</v>
      </c>
      <c r="E31" s="325" t="s">
        <v>209</v>
      </c>
      <c r="F31" s="317">
        <v>0.51574704441572972</v>
      </c>
    </row>
    <row r="32" spans="2:6" s="161" customFormat="1" x14ac:dyDescent="0.25">
      <c r="B32" s="322">
        <v>26</v>
      </c>
      <c r="C32" s="323" t="s">
        <v>278</v>
      </c>
      <c r="D32" s="324" t="s">
        <v>279</v>
      </c>
      <c r="E32" s="325" t="s">
        <v>208</v>
      </c>
      <c r="F32" s="317">
        <v>0.88342505962208773</v>
      </c>
    </row>
    <row r="33" spans="2:6" s="161" customFormat="1" x14ac:dyDescent="0.25">
      <c r="B33" s="322">
        <v>27</v>
      </c>
      <c r="C33" s="323" t="s">
        <v>302</v>
      </c>
      <c r="D33" s="324" t="s">
        <v>303</v>
      </c>
      <c r="E33" s="325" t="s">
        <v>208</v>
      </c>
      <c r="F33" s="317">
        <v>0.99916164337740787</v>
      </c>
    </row>
    <row r="34" spans="2:6" s="161" customFormat="1" x14ac:dyDescent="0.25">
      <c r="B34" s="322">
        <v>28</v>
      </c>
      <c r="C34" s="323" t="s">
        <v>282</v>
      </c>
      <c r="D34" s="324" t="s">
        <v>283</v>
      </c>
      <c r="E34" s="325" t="s">
        <v>208</v>
      </c>
      <c r="F34" s="317">
        <v>0.90286176804421048</v>
      </c>
    </row>
    <row r="35" spans="2:6" s="161" customFormat="1" x14ac:dyDescent="0.25">
      <c r="B35" s="322">
        <v>29</v>
      </c>
      <c r="C35" s="323" t="s">
        <v>304</v>
      </c>
      <c r="D35" s="324" t="s">
        <v>305</v>
      </c>
      <c r="E35" s="325" t="s">
        <v>208</v>
      </c>
      <c r="F35" s="317">
        <v>0.84215331712234287</v>
      </c>
    </row>
    <row r="36" spans="2:6" s="161" customFormat="1" x14ac:dyDescent="0.25">
      <c r="B36" s="322">
        <v>30</v>
      </c>
      <c r="C36" s="323" t="s">
        <v>306</v>
      </c>
      <c r="D36" s="324" t="s">
        <v>307</v>
      </c>
      <c r="E36" s="325" t="s">
        <v>208</v>
      </c>
      <c r="F36" s="317">
        <v>1</v>
      </c>
    </row>
    <row r="37" spans="2:6" s="161" customFormat="1" x14ac:dyDescent="0.25">
      <c r="B37" s="322">
        <v>31</v>
      </c>
      <c r="C37" s="323" t="s">
        <v>286</v>
      </c>
      <c r="D37" s="324" t="s">
        <v>287</v>
      </c>
      <c r="E37" s="325" t="s">
        <v>208</v>
      </c>
      <c r="F37" s="317">
        <v>0.99440229453897766</v>
      </c>
    </row>
    <row r="38" spans="2:6" s="161" customFormat="1" x14ac:dyDescent="0.25">
      <c r="B38" s="322">
        <v>32</v>
      </c>
      <c r="C38" s="323" t="s">
        <v>308</v>
      </c>
      <c r="D38" s="324" t="s">
        <v>309</v>
      </c>
      <c r="E38" s="325" t="s">
        <v>208</v>
      </c>
      <c r="F38" s="317">
        <v>1</v>
      </c>
    </row>
    <row r="39" spans="2:6" s="161" customFormat="1" x14ac:dyDescent="0.25">
      <c r="B39" s="322">
        <v>33</v>
      </c>
      <c r="C39" s="323" t="s">
        <v>290</v>
      </c>
      <c r="D39" s="324" t="s">
        <v>291</v>
      </c>
      <c r="E39" s="325" t="s">
        <v>208</v>
      </c>
      <c r="F39" s="317">
        <v>1</v>
      </c>
    </row>
    <row r="40" spans="2:6" s="161" customFormat="1" x14ac:dyDescent="0.25">
      <c r="B40" s="322">
        <v>34</v>
      </c>
      <c r="C40" s="323" t="s">
        <v>248</v>
      </c>
      <c r="D40" s="324" t="s">
        <v>249</v>
      </c>
      <c r="E40" s="325" t="s">
        <v>208</v>
      </c>
      <c r="F40" s="317">
        <v>0.9916812609457093</v>
      </c>
    </row>
    <row r="41" spans="2:6" s="161" customFormat="1" x14ac:dyDescent="0.25">
      <c r="B41" s="322">
        <v>35</v>
      </c>
      <c r="C41" s="323" t="s">
        <v>294</v>
      </c>
      <c r="D41" s="324" t="s">
        <v>295</v>
      </c>
      <c r="E41" s="325" t="s">
        <v>209</v>
      </c>
      <c r="F41" s="317">
        <v>0.68633896659753779</v>
      </c>
    </row>
    <row r="42" spans="2:6" s="161" customFormat="1" x14ac:dyDescent="0.25">
      <c r="B42" s="322">
        <v>36</v>
      </c>
      <c r="C42" s="323" t="s">
        <v>296</v>
      </c>
      <c r="D42" s="324" t="s">
        <v>297</v>
      </c>
      <c r="E42" s="325" t="s">
        <v>208</v>
      </c>
      <c r="F42" s="317">
        <v>0.81662392724034438</v>
      </c>
    </row>
    <row r="43" spans="2:6" s="161" customFormat="1" x14ac:dyDescent="0.25">
      <c r="B43" s="322">
        <v>37</v>
      </c>
      <c r="C43" s="323" t="s">
        <v>298</v>
      </c>
      <c r="D43" s="324" t="s">
        <v>299</v>
      </c>
      <c r="E43" s="325" t="s">
        <v>208</v>
      </c>
      <c r="F43" s="317">
        <v>0.86242879381425663</v>
      </c>
    </row>
    <row r="44" spans="2:6" s="161" customFormat="1" x14ac:dyDescent="0.25">
      <c r="B44" s="322">
        <v>38</v>
      </c>
      <c r="C44" s="323" t="s">
        <v>300</v>
      </c>
      <c r="D44" s="324" t="s">
        <v>301</v>
      </c>
      <c r="E44" s="325" t="s">
        <v>208</v>
      </c>
      <c r="F44" s="317">
        <v>0.96148809982284522</v>
      </c>
    </row>
    <row r="45" spans="2:6" s="161" customFormat="1" x14ac:dyDescent="0.25">
      <c r="B45" s="322">
        <v>39</v>
      </c>
      <c r="C45" s="323" t="s">
        <v>605</v>
      </c>
      <c r="D45" s="324" t="s">
        <v>253</v>
      </c>
      <c r="E45" s="325" t="s">
        <v>208</v>
      </c>
      <c r="F45" s="317">
        <v>0.97692960287730257</v>
      </c>
    </row>
    <row r="46" spans="2:6" s="161" customFormat="1" x14ac:dyDescent="0.25">
      <c r="B46" s="322">
        <v>40</v>
      </c>
      <c r="C46" s="323" t="s">
        <v>256</v>
      </c>
      <c r="D46" s="324" t="s">
        <v>257</v>
      </c>
      <c r="E46" s="325" t="s">
        <v>208</v>
      </c>
      <c r="F46" s="317">
        <v>0.99316000000000004</v>
      </c>
    </row>
    <row r="47" spans="2:6" s="161" customFormat="1" x14ac:dyDescent="0.25">
      <c r="B47" s="322"/>
      <c r="C47" s="323"/>
      <c r="D47" s="324"/>
      <c r="E47" s="325"/>
      <c r="F47" s="317"/>
    </row>
    <row r="48" spans="2:6" s="161" customFormat="1" x14ac:dyDescent="0.25">
      <c r="B48" s="322"/>
      <c r="C48" s="323"/>
      <c r="D48" s="324"/>
      <c r="E48" s="325"/>
      <c r="F48" s="317"/>
    </row>
    <row r="49" spans="2:6" s="161" customFormat="1" x14ac:dyDescent="0.25">
      <c r="B49" s="322"/>
      <c r="C49" s="323"/>
      <c r="D49" s="324"/>
      <c r="E49" s="325"/>
      <c r="F49" s="317"/>
    </row>
    <row r="50" spans="2:6" s="161" customFormat="1" x14ac:dyDescent="0.25">
      <c r="B50" s="322"/>
      <c r="C50" s="323"/>
      <c r="D50" s="324"/>
      <c r="E50" s="325"/>
      <c r="F50" s="317"/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606</v>
      </c>
      <c r="D53" s="324" t="s">
        <v>260</v>
      </c>
      <c r="E53" s="325" t="s">
        <v>208</v>
      </c>
      <c r="F53" s="317">
        <v>0.9072583113322833</v>
      </c>
    </row>
    <row r="54" spans="2:6" s="161" customFormat="1" x14ac:dyDescent="0.25">
      <c r="B54" s="322">
        <v>2</v>
      </c>
      <c r="C54" s="323" t="s">
        <v>607</v>
      </c>
      <c r="D54" s="324" t="s">
        <v>265</v>
      </c>
      <c r="E54" s="325" t="s">
        <v>208</v>
      </c>
      <c r="F54" s="317">
        <v>0.9662790080186926</v>
      </c>
    </row>
    <row r="55" spans="2:6" s="161" customFormat="1" x14ac:dyDescent="0.25">
      <c r="B55" s="322">
        <v>3</v>
      </c>
      <c r="C55" s="323" t="s">
        <v>608</v>
      </c>
      <c r="D55" s="324" t="s">
        <v>293</v>
      </c>
      <c r="E55" s="325" t="s">
        <v>208</v>
      </c>
      <c r="F55" s="317">
        <v>1</v>
      </c>
    </row>
    <row r="56" spans="2:6" s="161" customFormat="1" x14ac:dyDescent="0.25">
      <c r="B56" s="322">
        <v>4</v>
      </c>
      <c r="C56" s="323" t="s">
        <v>609</v>
      </c>
      <c r="D56" s="324" t="s">
        <v>221</v>
      </c>
      <c r="E56" s="325" t="s">
        <v>209</v>
      </c>
      <c r="F56" s="317">
        <v>0.78704617687576606</v>
      </c>
    </row>
    <row r="57" spans="2:6" s="161" customFormat="1" x14ac:dyDescent="0.25">
      <c r="B57" s="322">
        <v>5</v>
      </c>
      <c r="C57" s="323" t="s">
        <v>610</v>
      </c>
      <c r="D57" s="324" t="s">
        <v>311</v>
      </c>
      <c r="E57" s="325" t="s">
        <v>208</v>
      </c>
      <c r="F57" s="317">
        <v>0.92185000000000006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602</v>
      </c>
      <c r="C1" s="154"/>
    </row>
    <row r="3" spans="1:6" x14ac:dyDescent="0.25">
      <c r="E3" s="165">
        <v>43100</v>
      </c>
    </row>
    <row r="5" spans="1:6" s="156" customFormat="1" ht="27.6" x14ac:dyDescent="0.25">
      <c r="C5" s="157" t="s">
        <v>217</v>
      </c>
      <c r="D5" s="158" t="s">
        <v>603</v>
      </c>
      <c r="E5" s="159" t="s">
        <v>604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222</v>
      </c>
      <c r="D7" s="324" t="s">
        <v>223</v>
      </c>
      <c r="E7" s="325" t="s">
        <v>209</v>
      </c>
      <c r="F7" s="317">
        <v>0.76507874015748034</v>
      </c>
    </row>
    <row r="8" spans="1:6" s="161" customFormat="1" x14ac:dyDescent="0.25">
      <c r="B8" s="322">
        <v>2</v>
      </c>
      <c r="C8" s="323" t="s">
        <v>224</v>
      </c>
      <c r="D8" s="324" t="s">
        <v>225</v>
      </c>
      <c r="E8" s="325" t="s">
        <v>208</v>
      </c>
      <c r="F8" s="317">
        <v>0.88780501557676317</v>
      </c>
    </row>
    <row r="9" spans="1:6" s="161" customFormat="1" x14ac:dyDescent="0.2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2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0.95447333579487414</v>
      </c>
    </row>
    <row r="11" spans="1:6" s="161" customFormat="1" x14ac:dyDescent="0.2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0.67604433077578863</v>
      </c>
    </row>
    <row r="12" spans="1:6" s="161" customFormat="1" x14ac:dyDescent="0.2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0.98945261528574735</v>
      </c>
    </row>
    <row r="13" spans="1:6" s="161" customFormat="1" x14ac:dyDescent="0.2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0.95101880159822139</v>
      </c>
    </row>
    <row r="14" spans="1:6" s="161" customFormat="1" x14ac:dyDescent="0.25">
      <c r="B14" s="322">
        <v>8</v>
      </c>
      <c r="C14" s="323" t="s">
        <v>254</v>
      </c>
      <c r="D14" s="324" t="s">
        <v>255</v>
      </c>
      <c r="E14" s="325" t="s">
        <v>209</v>
      </c>
      <c r="F14" s="317">
        <v>0.58622816961747914</v>
      </c>
    </row>
    <row r="15" spans="1:6" s="161" customFormat="1" x14ac:dyDescent="0.2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0.91301518438177875</v>
      </c>
    </row>
    <row r="16" spans="1:6" s="161" customFormat="1" x14ac:dyDescent="0.2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0.8738749974018416</v>
      </c>
    </row>
    <row r="17" spans="2:6" s="161" customFormat="1" x14ac:dyDescent="0.25">
      <c r="B17" s="322">
        <v>11</v>
      </c>
      <c r="C17" s="323" t="s">
        <v>263</v>
      </c>
      <c r="D17" s="324" t="s">
        <v>199</v>
      </c>
      <c r="E17" s="325" t="s">
        <v>209</v>
      </c>
      <c r="F17" s="317">
        <v>0.71946631853785892</v>
      </c>
    </row>
    <row r="18" spans="2:6" s="161" customFormat="1" x14ac:dyDescent="0.2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0.77694198477803778</v>
      </c>
    </row>
    <row r="19" spans="2:6" s="161" customFormat="1" x14ac:dyDescent="0.2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0.86592369157590954</v>
      </c>
    </row>
    <row r="20" spans="2:6" s="161" customFormat="1" x14ac:dyDescent="0.2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25">
      <c r="B21" s="322">
        <v>15</v>
      </c>
      <c r="C21" s="323" t="s">
        <v>338</v>
      </c>
      <c r="D21" s="324" t="s">
        <v>341</v>
      </c>
      <c r="E21" s="325" t="s">
        <v>208</v>
      </c>
      <c r="F21" s="317">
        <v>1</v>
      </c>
    </row>
    <row r="22" spans="2:6" s="161" customFormat="1" x14ac:dyDescent="0.25">
      <c r="B22" s="322">
        <v>16</v>
      </c>
      <c r="C22" s="323" t="s">
        <v>272</v>
      </c>
      <c r="D22" s="324" t="s">
        <v>273</v>
      </c>
      <c r="E22" s="325" t="s">
        <v>208</v>
      </c>
      <c r="F22" s="317">
        <v>0.92017324799678957</v>
      </c>
    </row>
    <row r="23" spans="2:6" s="161" customFormat="1" x14ac:dyDescent="0.25">
      <c r="B23" s="322">
        <v>17</v>
      </c>
      <c r="C23" s="323" t="s">
        <v>235</v>
      </c>
      <c r="D23" s="324" t="s">
        <v>236</v>
      </c>
      <c r="E23" s="325" t="s">
        <v>208</v>
      </c>
      <c r="F23" s="317">
        <v>1</v>
      </c>
    </row>
    <row r="24" spans="2:6" s="161" customFormat="1" x14ac:dyDescent="0.25">
      <c r="B24" s="322">
        <v>18</v>
      </c>
      <c r="C24" s="323" t="s">
        <v>240</v>
      </c>
      <c r="D24" s="324" t="s">
        <v>241</v>
      </c>
      <c r="E24" s="325" t="s">
        <v>208</v>
      </c>
      <c r="F24" s="317">
        <v>0.89029386754425666</v>
      </c>
    </row>
    <row r="25" spans="2:6" s="161" customFormat="1" x14ac:dyDescent="0.25">
      <c r="B25" s="322">
        <v>19</v>
      </c>
      <c r="C25" s="323" t="s">
        <v>274</v>
      </c>
      <c r="D25" s="324" t="s">
        <v>275</v>
      </c>
      <c r="E25" s="325" t="s">
        <v>209</v>
      </c>
      <c r="F25" s="317">
        <v>0.60194515852613539</v>
      </c>
    </row>
    <row r="26" spans="2:6" s="161" customFormat="1" x14ac:dyDescent="0.25">
      <c r="B26" s="322">
        <v>20</v>
      </c>
      <c r="C26" s="323" t="s">
        <v>280</v>
      </c>
      <c r="D26" s="324" t="s">
        <v>281</v>
      </c>
      <c r="E26" s="325" t="s">
        <v>208</v>
      </c>
      <c r="F26" s="317">
        <v>0.88162907920581202</v>
      </c>
    </row>
    <row r="27" spans="2:6" s="161" customFormat="1" x14ac:dyDescent="0.25">
      <c r="B27" s="322">
        <v>21</v>
      </c>
      <c r="C27" s="323" t="s">
        <v>284</v>
      </c>
      <c r="D27" s="324" t="s">
        <v>285</v>
      </c>
      <c r="E27" s="325" t="s">
        <v>209</v>
      </c>
      <c r="F27" s="317">
        <v>0.47300476006249853</v>
      </c>
    </row>
    <row r="28" spans="2:6" s="161" customFormat="1" x14ac:dyDescent="0.25">
      <c r="B28" s="322">
        <v>22</v>
      </c>
      <c r="C28" s="323" t="s">
        <v>288</v>
      </c>
      <c r="D28" s="324" t="s">
        <v>289</v>
      </c>
      <c r="E28" s="325" t="s">
        <v>208</v>
      </c>
      <c r="F28" s="317">
        <v>0.99173421797216232</v>
      </c>
    </row>
    <row r="29" spans="2:6" s="161" customFormat="1" x14ac:dyDescent="0.25">
      <c r="B29" s="322">
        <v>23</v>
      </c>
      <c r="C29" s="323" t="s">
        <v>276</v>
      </c>
      <c r="D29" s="324" t="s">
        <v>277</v>
      </c>
      <c r="E29" s="325" t="s">
        <v>209</v>
      </c>
      <c r="F29" s="317">
        <v>0.57966797302336071</v>
      </c>
    </row>
    <row r="30" spans="2:6" s="161" customFormat="1" x14ac:dyDescent="0.25">
      <c r="B30" s="322">
        <v>24</v>
      </c>
      <c r="C30" s="323" t="s">
        <v>313</v>
      </c>
      <c r="D30" s="324" t="s">
        <v>471</v>
      </c>
      <c r="E30" s="325" t="s">
        <v>209</v>
      </c>
      <c r="F30" s="317">
        <v>0.7812176918491015</v>
      </c>
    </row>
    <row r="31" spans="2:6" s="161" customFormat="1" x14ac:dyDescent="0.25">
      <c r="B31" s="322">
        <v>25</v>
      </c>
      <c r="C31" s="323" t="s">
        <v>245</v>
      </c>
      <c r="D31" s="324" t="s">
        <v>246</v>
      </c>
      <c r="E31" s="325" t="s">
        <v>209</v>
      </c>
      <c r="F31" s="317">
        <v>0.51360053972829589</v>
      </c>
    </row>
    <row r="32" spans="2:6" s="161" customFormat="1" x14ac:dyDescent="0.25">
      <c r="B32" s="322">
        <v>26</v>
      </c>
      <c r="C32" s="323" t="s">
        <v>278</v>
      </c>
      <c r="D32" s="324" t="s">
        <v>279</v>
      </c>
      <c r="E32" s="325" t="s">
        <v>208</v>
      </c>
      <c r="F32" s="317">
        <v>0.87805146856229688</v>
      </c>
    </row>
    <row r="33" spans="2:6" s="161" customFormat="1" x14ac:dyDescent="0.25">
      <c r="B33" s="322">
        <v>27</v>
      </c>
      <c r="C33" s="323" t="s">
        <v>302</v>
      </c>
      <c r="D33" s="324" t="s">
        <v>303</v>
      </c>
      <c r="E33" s="325" t="s">
        <v>208</v>
      </c>
      <c r="F33" s="317">
        <v>0.99952295893849685</v>
      </c>
    </row>
    <row r="34" spans="2:6" s="161" customFormat="1" x14ac:dyDescent="0.25">
      <c r="B34" s="322">
        <v>28</v>
      </c>
      <c r="C34" s="323" t="s">
        <v>282</v>
      </c>
      <c r="D34" s="324" t="s">
        <v>283</v>
      </c>
      <c r="E34" s="325" t="s">
        <v>208</v>
      </c>
      <c r="F34" s="317">
        <v>0.88887608401279206</v>
      </c>
    </row>
    <row r="35" spans="2:6" s="161" customFormat="1" x14ac:dyDescent="0.25">
      <c r="B35" s="322">
        <v>29</v>
      </c>
      <c r="C35" s="323" t="s">
        <v>304</v>
      </c>
      <c r="D35" s="324" t="s">
        <v>305</v>
      </c>
      <c r="E35" s="325" t="s">
        <v>208</v>
      </c>
      <c r="F35" s="317">
        <v>0.84330816383755158</v>
      </c>
    </row>
    <row r="36" spans="2:6" s="161" customFormat="1" x14ac:dyDescent="0.25">
      <c r="B36" s="322">
        <v>30</v>
      </c>
      <c r="C36" s="323" t="s">
        <v>306</v>
      </c>
      <c r="D36" s="324" t="s">
        <v>307</v>
      </c>
      <c r="E36" s="325" t="s">
        <v>208</v>
      </c>
      <c r="F36" s="317">
        <v>1</v>
      </c>
    </row>
    <row r="37" spans="2:6" s="161" customFormat="1" x14ac:dyDescent="0.25">
      <c r="B37" s="322">
        <v>31</v>
      </c>
      <c r="C37" s="323" t="s">
        <v>286</v>
      </c>
      <c r="D37" s="324" t="s">
        <v>287</v>
      </c>
      <c r="E37" s="325" t="s">
        <v>208</v>
      </c>
      <c r="F37" s="317">
        <v>0.99263585427228107</v>
      </c>
    </row>
    <row r="38" spans="2:6" s="161" customFormat="1" x14ac:dyDescent="0.25">
      <c r="B38" s="322">
        <v>32</v>
      </c>
      <c r="C38" s="323" t="s">
        <v>308</v>
      </c>
      <c r="D38" s="324" t="s">
        <v>309</v>
      </c>
      <c r="E38" s="325" t="s">
        <v>208</v>
      </c>
      <c r="F38" s="317">
        <v>1</v>
      </c>
    </row>
    <row r="39" spans="2:6" s="161" customFormat="1" x14ac:dyDescent="0.25">
      <c r="B39" s="322">
        <v>33</v>
      </c>
      <c r="C39" s="323" t="s">
        <v>290</v>
      </c>
      <c r="D39" s="324" t="s">
        <v>291</v>
      </c>
      <c r="E39" s="325" t="s">
        <v>208</v>
      </c>
      <c r="F39" s="317">
        <v>1</v>
      </c>
    </row>
    <row r="40" spans="2:6" s="161" customFormat="1" x14ac:dyDescent="0.25">
      <c r="B40" s="322">
        <v>34</v>
      </c>
      <c r="C40" s="323" t="s">
        <v>248</v>
      </c>
      <c r="D40" s="324" t="s">
        <v>249</v>
      </c>
      <c r="E40" s="325" t="s">
        <v>208</v>
      </c>
      <c r="F40" s="317">
        <v>0.99720340413221153</v>
      </c>
    </row>
    <row r="41" spans="2:6" s="161" customFormat="1" x14ac:dyDescent="0.25">
      <c r="B41" s="322">
        <v>35</v>
      </c>
      <c r="C41" s="323" t="s">
        <v>294</v>
      </c>
      <c r="D41" s="324" t="s">
        <v>295</v>
      </c>
      <c r="E41" s="325" t="s">
        <v>209</v>
      </c>
      <c r="F41" s="317">
        <v>0.66846146642944082</v>
      </c>
    </row>
    <row r="42" spans="2:6" s="161" customFormat="1" x14ac:dyDescent="0.25">
      <c r="B42" s="322">
        <v>36</v>
      </c>
      <c r="C42" s="323" t="s">
        <v>357</v>
      </c>
      <c r="D42" s="324" t="s">
        <v>358</v>
      </c>
      <c r="E42" s="325" t="s">
        <v>208</v>
      </c>
      <c r="F42" s="317">
        <v>0.81317039329740115</v>
      </c>
    </row>
    <row r="43" spans="2:6" s="161" customFormat="1" x14ac:dyDescent="0.25">
      <c r="B43" s="322">
        <v>37</v>
      </c>
      <c r="C43" s="323" t="s">
        <v>296</v>
      </c>
      <c r="D43" s="324" t="s">
        <v>297</v>
      </c>
      <c r="E43" s="325" t="s">
        <v>209</v>
      </c>
      <c r="F43" s="317">
        <v>0.73605438826073821</v>
      </c>
    </row>
    <row r="44" spans="2:6" s="161" customFormat="1" x14ac:dyDescent="0.25">
      <c r="B44" s="322">
        <v>38</v>
      </c>
      <c r="C44" s="323" t="s">
        <v>298</v>
      </c>
      <c r="D44" s="324" t="s">
        <v>299</v>
      </c>
      <c r="E44" s="325" t="s">
        <v>208</v>
      </c>
      <c r="F44" s="317">
        <v>0.85753794874104772</v>
      </c>
    </row>
    <row r="45" spans="2:6" s="161" customFormat="1" x14ac:dyDescent="0.25">
      <c r="B45" s="322">
        <v>39</v>
      </c>
      <c r="C45" s="323" t="s">
        <v>300</v>
      </c>
      <c r="D45" s="324" t="s">
        <v>301</v>
      </c>
      <c r="E45" s="325" t="s">
        <v>208</v>
      </c>
      <c r="F45" s="317">
        <v>0.95917545696110795</v>
      </c>
    </row>
    <row r="46" spans="2:6" s="161" customFormat="1" x14ac:dyDescent="0.25">
      <c r="B46" s="322">
        <v>40</v>
      </c>
      <c r="C46" s="323" t="s">
        <v>355</v>
      </c>
      <c r="D46" s="324" t="s">
        <v>356</v>
      </c>
      <c r="E46" s="325" t="s">
        <v>208</v>
      </c>
      <c r="F46" s="317">
        <v>0.84594425656724326</v>
      </c>
    </row>
    <row r="47" spans="2:6" s="161" customFormat="1" x14ac:dyDescent="0.25">
      <c r="B47" s="322">
        <v>41</v>
      </c>
      <c r="C47" s="323" t="s">
        <v>605</v>
      </c>
      <c r="D47" s="324" t="s">
        <v>253</v>
      </c>
      <c r="E47" s="325" t="s">
        <v>208</v>
      </c>
      <c r="F47" s="317">
        <v>0.98266884031591772</v>
      </c>
    </row>
    <row r="48" spans="2:6" s="161" customFormat="1" x14ac:dyDescent="0.25">
      <c r="B48" s="322">
        <v>42</v>
      </c>
      <c r="C48" s="323" t="s">
        <v>256</v>
      </c>
      <c r="D48" s="324" t="s">
        <v>257</v>
      </c>
      <c r="E48" s="325" t="s">
        <v>208</v>
      </c>
      <c r="F48" s="317">
        <v>0.99316000000000004</v>
      </c>
    </row>
    <row r="49" spans="2:6" s="161" customFormat="1" x14ac:dyDescent="0.25">
      <c r="B49" s="322"/>
      <c r="C49" s="331"/>
      <c r="D49" s="332"/>
      <c r="E49" s="333"/>
      <c r="F49" s="334"/>
    </row>
    <row r="50" spans="2:6" s="161" customFormat="1" x14ac:dyDescent="0.25">
      <c r="B50" s="322"/>
      <c r="C50" s="335" t="s">
        <v>362</v>
      </c>
      <c r="D50" s="336" t="s">
        <v>363</v>
      </c>
      <c r="E50" s="337" t="s">
        <v>208</v>
      </c>
      <c r="F50" s="338">
        <v>0.92375922105651831</v>
      </c>
    </row>
    <row r="51" spans="2:6" s="161" customFormat="1" x14ac:dyDescent="0.25">
      <c r="B51" s="322"/>
      <c r="C51" s="339" t="s">
        <v>364</v>
      </c>
      <c r="D51" s="340" t="s">
        <v>365</v>
      </c>
      <c r="E51" s="341" t="s">
        <v>208</v>
      </c>
      <c r="F51" s="342">
        <v>1</v>
      </c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606</v>
      </c>
      <c r="D53" s="324" t="s">
        <v>260</v>
      </c>
      <c r="E53" s="325" t="s">
        <v>208</v>
      </c>
      <c r="F53" s="317">
        <v>0.90461810065077275</v>
      </c>
    </row>
    <row r="54" spans="2:6" s="161" customFormat="1" x14ac:dyDescent="0.25">
      <c r="B54" s="322">
        <v>2</v>
      </c>
      <c r="C54" s="323" t="s">
        <v>607</v>
      </c>
      <c r="D54" s="324" t="s">
        <v>265</v>
      </c>
      <c r="E54" s="325" t="s">
        <v>208</v>
      </c>
      <c r="F54" s="317">
        <v>0.82441928557485844</v>
      </c>
    </row>
    <row r="55" spans="2:6" s="161" customFormat="1" x14ac:dyDescent="0.25">
      <c r="B55" s="322">
        <v>3</v>
      </c>
      <c r="C55" s="323" t="s">
        <v>608</v>
      </c>
      <c r="D55" s="324" t="s">
        <v>293</v>
      </c>
      <c r="E55" s="325" t="s">
        <v>208</v>
      </c>
      <c r="F55" s="317">
        <v>1</v>
      </c>
    </row>
    <row r="56" spans="2:6" s="161" customFormat="1" x14ac:dyDescent="0.25">
      <c r="B56" s="322">
        <v>4</v>
      </c>
      <c r="C56" s="323" t="s">
        <v>609</v>
      </c>
      <c r="D56" s="324" t="s">
        <v>221</v>
      </c>
      <c r="E56" s="325" t="s">
        <v>209</v>
      </c>
      <c r="F56" s="317">
        <v>0.78762415750266057</v>
      </c>
    </row>
    <row r="57" spans="2:6" s="161" customFormat="1" x14ac:dyDescent="0.25">
      <c r="B57" s="322">
        <v>5</v>
      </c>
      <c r="C57" s="323" t="s">
        <v>610</v>
      </c>
      <c r="D57" s="324" t="s">
        <v>311</v>
      </c>
      <c r="E57" s="325" t="s">
        <v>208</v>
      </c>
      <c r="F57" s="317">
        <v>0.93376000000000003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602</v>
      </c>
      <c r="C1" s="154"/>
    </row>
    <row r="3" spans="1:6" x14ac:dyDescent="0.25">
      <c r="E3" s="165">
        <v>42735</v>
      </c>
    </row>
    <row r="5" spans="1:6" s="156" customFormat="1" ht="27.6" x14ac:dyDescent="0.25">
      <c r="C5" s="157" t="s">
        <v>217</v>
      </c>
      <c r="D5" s="158" t="s">
        <v>603</v>
      </c>
      <c r="E5" s="159" t="s">
        <v>604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222</v>
      </c>
      <c r="D7" s="324" t="s">
        <v>223</v>
      </c>
      <c r="E7" s="325" t="s">
        <v>209</v>
      </c>
      <c r="F7" s="317">
        <v>0.78538235773683363</v>
      </c>
    </row>
    <row r="8" spans="1:6" s="161" customFormat="1" x14ac:dyDescent="0.25">
      <c r="B8" s="322">
        <v>2</v>
      </c>
      <c r="C8" s="323" t="s">
        <v>224</v>
      </c>
      <c r="D8" s="324" t="s">
        <v>225</v>
      </c>
      <c r="E8" s="325" t="s">
        <v>208</v>
      </c>
      <c r="F8" s="317">
        <v>0.90711690020786906</v>
      </c>
    </row>
    <row r="9" spans="1:6" s="161" customFormat="1" x14ac:dyDescent="0.25">
      <c r="B9" s="322"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25">
      <c r="B10" s="322">
        <v>4</v>
      </c>
      <c r="C10" s="323" t="s">
        <v>227</v>
      </c>
      <c r="D10" s="324" t="s">
        <v>228</v>
      </c>
      <c r="E10" s="325" t="s">
        <v>208</v>
      </c>
      <c r="F10" s="317">
        <v>0.92354851365340163</v>
      </c>
    </row>
    <row r="11" spans="1:6" s="161" customFormat="1" x14ac:dyDescent="0.25">
      <c r="B11" s="322">
        <v>5</v>
      </c>
      <c r="C11" s="323" t="s">
        <v>238</v>
      </c>
      <c r="D11" s="324" t="s">
        <v>239</v>
      </c>
      <c r="E11" s="325" t="s">
        <v>209</v>
      </c>
      <c r="F11" s="317">
        <v>0.66284454949056182</v>
      </c>
    </row>
    <row r="12" spans="1:6" s="161" customFormat="1" x14ac:dyDescent="0.25">
      <c r="B12" s="322">
        <v>6</v>
      </c>
      <c r="C12" s="323" t="s">
        <v>243</v>
      </c>
      <c r="D12" s="324" t="s">
        <v>244</v>
      </c>
      <c r="E12" s="325" t="s">
        <v>208</v>
      </c>
      <c r="F12" s="317">
        <v>0.98861906057812454</v>
      </c>
    </row>
    <row r="13" spans="1:6" s="161" customFormat="1" x14ac:dyDescent="0.25">
      <c r="B13" s="322">
        <v>7</v>
      </c>
      <c r="C13" s="323" t="s">
        <v>250</v>
      </c>
      <c r="D13" s="324" t="s">
        <v>251</v>
      </c>
      <c r="E13" s="325" t="s">
        <v>208</v>
      </c>
      <c r="F13" s="317">
        <v>0.94660102979935035</v>
      </c>
    </row>
    <row r="14" spans="1:6" s="161" customFormat="1" x14ac:dyDescent="0.25">
      <c r="B14" s="322">
        <v>8</v>
      </c>
      <c r="C14" s="323" t="s">
        <v>254</v>
      </c>
      <c r="D14" s="324" t="s">
        <v>255</v>
      </c>
      <c r="E14" s="325" t="s">
        <v>209</v>
      </c>
      <c r="F14" s="317">
        <v>0.72648700883119577</v>
      </c>
    </row>
    <row r="15" spans="1:6" s="161" customFormat="1" x14ac:dyDescent="0.25">
      <c r="B15" s="322">
        <v>9</v>
      </c>
      <c r="C15" s="323" t="s">
        <v>261</v>
      </c>
      <c r="D15" s="324" t="s">
        <v>262</v>
      </c>
      <c r="E15" s="325" t="s">
        <v>208</v>
      </c>
      <c r="F15" s="317">
        <v>0.91920266395338079</v>
      </c>
    </row>
    <row r="16" spans="1:6" s="161" customFormat="1" x14ac:dyDescent="0.25">
      <c r="B16" s="322">
        <v>10</v>
      </c>
      <c r="C16" s="323" t="s">
        <v>232</v>
      </c>
      <c r="D16" s="324" t="s">
        <v>233</v>
      </c>
      <c r="E16" s="325" t="s">
        <v>208</v>
      </c>
      <c r="F16" s="317">
        <v>0.87387835457465546</v>
      </c>
    </row>
    <row r="17" spans="2:6" s="161" customFormat="1" x14ac:dyDescent="0.25">
      <c r="B17" s="322">
        <v>11</v>
      </c>
      <c r="C17" s="323" t="s">
        <v>371</v>
      </c>
      <c r="D17" s="324" t="s">
        <v>199</v>
      </c>
      <c r="E17" s="325" t="s">
        <v>209</v>
      </c>
      <c r="F17" s="317">
        <v>0.67019553072625704</v>
      </c>
    </row>
    <row r="18" spans="2:6" s="161" customFormat="1" x14ac:dyDescent="0.25">
      <c r="B18" s="322">
        <v>12</v>
      </c>
      <c r="C18" s="323" t="s">
        <v>266</v>
      </c>
      <c r="D18" s="324" t="s">
        <v>267</v>
      </c>
      <c r="E18" s="325" t="s">
        <v>209</v>
      </c>
      <c r="F18" s="317">
        <v>0.78480696607471678</v>
      </c>
    </row>
    <row r="19" spans="2:6" s="161" customFormat="1" x14ac:dyDescent="0.25">
      <c r="B19" s="322">
        <v>13</v>
      </c>
      <c r="C19" s="323" t="s">
        <v>268</v>
      </c>
      <c r="D19" s="324" t="s">
        <v>269</v>
      </c>
      <c r="E19" s="325" t="s">
        <v>208</v>
      </c>
      <c r="F19" s="317">
        <v>0.86616551547517728</v>
      </c>
    </row>
    <row r="20" spans="2:6" s="161" customFormat="1" x14ac:dyDescent="0.25">
      <c r="B20" s="322">
        <v>14</v>
      </c>
      <c r="C20" s="323" t="s">
        <v>270</v>
      </c>
      <c r="D20" s="324" t="s">
        <v>271</v>
      </c>
      <c r="E20" s="325" t="s">
        <v>208</v>
      </c>
      <c r="F20" s="317">
        <v>1</v>
      </c>
    </row>
    <row r="21" spans="2:6" s="161" customFormat="1" x14ac:dyDescent="0.25">
      <c r="B21" s="322">
        <v>15</v>
      </c>
      <c r="C21" s="323" t="s">
        <v>338</v>
      </c>
      <c r="D21" s="324" t="s">
        <v>341</v>
      </c>
      <c r="E21" s="325" t="s">
        <v>208</v>
      </c>
      <c r="F21" s="317">
        <v>1</v>
      </c>
    </row>
    <row r="22" spans="2:6" s="161" customFormat="1" x14ac:dyDescent="0.25">
      <c r="B22" s="322">
        <v>16</v>
      </c>
      <c r="C22" s="323" t="s">
        <v>377</v>
      </c>
      <c r="D22" s="324" t="s">
        <v>378</v>
      </c>
      <c r="E22" s="325" t="s">
        <v>208</v>
      </c>
      <c r="F22" s="317">
        <v>1</v>
      </c>
    </row>
    <row r="23" spans="2:6" s="161" customFormat="1" x14ac:dyDescent="0.25">
      <c r="B23" s="322">
        <v>17</v>
      </c>
      <c r="C23" s="323" t="s">
        <v>272</v>
      </c>
      <c r="D23" s="324" t="s">
        <v>273</v>
      </c>
      <c r="E23" s="325" t="s">
        <v>208</v>
      </c>
      <c r="F23" s="317">
        <v>0.89531113704615117</v>
      </c>
    </row>
    <row r="24" spans="2:6" s="161" customFormat="1" x14ac:dyDescent="0.25">
      <c r="B24" s="322">
        <v>18</v>
      </c>
      <c r="C24" s="323" t="s">
        <v>240</v>
      </c>
      <c r="D24" s="324" t="s">
        <v>241</v>
      </c>
      <c r="E24" s="325" t="s">
        <v>208</v>
      </c>
      <c r="F24" s="317">
        <v>0.94913456378770289</v>
      </c>
    </row>
    <row r="25" spans="2:6" s="161" customFormat="1" x14ac:dyDescent="0.25">
      <c r="B25" s="322">
        <v>19</v>
      </c>
      <c r="C25" s="323" t="s">
        <v>274</v>
      </c>
      <c r="D25" s="324" t="s">
        <v>275</v>
      </c>
      <c r="E25" s="325" t="s">
        <v>209</v>
      </c>
      <c r="F25" s="317">
        <v>0.59958748172387388</v>
      </c>
    </row>
    <row r="26" spans="2:6" s="161" customFormat="1" x14ac:dyDescent="0.25">
      <c r="B26" s="322">
        <v>20</v>
      </c>
      <c r="C26" s="323" t="s">
        <v>280</v>
      </c>
      <c r="D26" s="324" t="s">
        <v>281</v>
      </c>
      <c r="E26" s="325" t="s">
        <v>208</v>
      </c>
      <c r="F26" s="317">
        <v>0.84492908130156674</v>
      </c>
    </row>
    <row r="27" spans="2:6" s="161" customFormat="1" x14ac:dyDescent="0.25">
      <c r="B27" s="322">
        <v>21</v>
      </c>
      <c r="C27" s="323" t="s">
        <v>362</v>
      </c>
      <c r="D27" s="324" t="s">
        <v>363</v>
      </c>
      <c r="E27" s="325" t="s">
        <v>208</v>
      </c>
      <c r="F27" s="317">
        <v>0.84334561532792929</v>
      </c>
    </row>
    <row r="28" spans="2:6" s="161" customFormat="1" x14ac:dyDescent="0.25">
      <c r="B28" s="322">
        <v>22</v>
      </c>
      <c r="C28" s="323" t="s">
        <v>284</v>
      </c>
      <c r="D28" s="324" t="s">
        <v>285</v>
      </c>
      <c r="E28" s="325" t="s">
        <v>209</v>
      </c>
      <c r="F28" s="317">
        <v>0.48090017420618525</v>
      </c>
    </row>
    <row r="29" spans="2:6" s="161" customFormat="1" x14ac:dyDescent="0.25">
      <c r="B29" s="322">
        <v>23</v>
      </c>
      <c r="C29" s="323" t="s">
        <v>288</v>
      </c>
      <c r="D29" s="324" t="s">
        <v>289</v>
      </c>
      <c r="E29" s="325" t="s">
        <v>208</v>
      </c>
      <c r="F29" s="317">
        <v>0.99154946416451661</v>
      </c>
    </row>
    <row r="30" spans="2:6" s="161" customFormat="1" x14ac:dyDescent="0.25">
      <c r="B30" s="322">
        <v>24</v>
      </c>
      <c r="C30" s="323" t="s">
        <v>276</v>
      </c>
      <c r="D30" s="324" t="s">
        <v>277</v>
      </c>
      <c r="E30" s="325" t="s">
        <v>209</v>
      </c>
      <c r="F30" s="317">
        <v>0.55788183787105561</v>
      </c>
    </row>
    <row r="31" spans="2:6" s="161" customFormat="1" x14ac:dyDescent="0.25">
      <c r="B31" s="322">
        <v>25</v>
      </c>
      <c r="C31" s="323" t="s">
        <v>313</v>
      </c>
      <c r="D31" s="324" t="s">
        <v>471</v>
      </c>
      <c r="E31" s="325" t="s">
        <v>209</v>
      </c>
      <c r="F31" s="317">
        <v>0.78567232629673633</v>
      </c>
    </row>
    <row r="32" spans="2:6" s="161" customFormat="1" x14ac:dyDescent="0.25">
      <c r="B32" s="322">
        <v>26</v>
      </c>
      <c r="C32" s="323" t="s">
        <v>245</v>
      </c>
      <c r="D32" s="324" t="s">
        <v>246</v>
      </c>
      <c r="E32" s="325" t="s">
        <v>209</v>
      </c>
      <c r="F32" s="317">
        <v>0.50560599157712272</v>
      </c>
    </row>
    <row r="33" spans="2:6" s="161" customFormat="1" x14ac:dyDescent="0.25">
      <c r="B33" s="322">
        <v>27</v>
      </c>
      <c r="C33" s="323" t="s">
        <v>278</v>
      </c>
      <c r="D33" s="324" t="s">
        <v>279</v>
      </c>
      <c r="E33" s="325" t="s">
        <v>208</v>
      </c>
      <c r="F33" s="317">
        <v>0.87362440415367082</v>
      </c>
    </row>
    <row r="34" spans="2:6" s="161" customFormat="1" x14ac:dyDescent="0.25">
      <c r="B34" s="322">
        <v>28</v>
      </c>
      <c r="C34" s="323" t="s">
        <v>302</v>
      </c>
      <c r="D34" s="324" t="s">
        <v>303</v>
      </c>
      <c r="E34" s="325" t="s">
        <v>208</v>
      </c>
      <c r="F34" s="317">
        <v>0.99888749902033358</v>
      </c>
    </row>
    <row r="35" spans="2:6" s="161" customFormat="1" x14ac:dyDescent="0.25">
      <c r="B35" s="322">
        <v>29</v>
      </c>
      <c r="C35" s="323" t="s">
        <v>282</v>
      </c>
      <c r="D35" s="324" t="s">
        <v>283</v>
      </c>
      <c r="E35" s="325" t="s">
        <v>208</v>
      </c>
      <c r="F35" s="317">
        <v>0.87220813714837608</v>
      </c>
    </row>
    <row r="36" spans="2:6" s="161" customFormat="1" x14ac:dyDescent="0.25">
      <c r="B36" s="322">
        <v>30</v>
      </c>
      <c r="C36" s="323" t="s">
        <v>304</v>
      </c>
      <c r="D36" s="324" t="s">
        <v>305</v>
      </c>
      <c r="E36" s="325" t="s">
        <v>208</v>
      </c>
      <c r="F36" s="317">
        <v>0.84827636694494046</v>
      </c>
    </row>
    <row r="37" spans="2:6" s="161" customFormat="1" x14ac:dyDescent="0.25">
      <c r="B37" s="322">
        <v>31</v>
      </c>
      <c r="C37" s="323" t="s">
        <v>306</v>
      </c>
      <c r="D37" s="324" t="s">
        <v>307</v>
      </c>
      <c r="E37" s="325" t="s">
        <v>208</v>
      </c>
      <c r="F37" s="317">
        <v>1</v>
      </c>
    </row>
    <row r="38" spans="2:6" s="161" customFormat="1" x14ac:dyDescent="0.25">
      <c r="B38" s="322">
        <v>32</v>
      </c>
      <c r="C38" s="323" t="s">
        <v>286</v>
      </c>
      <c r="D38" s="324" t="s">
        <v>287</v>
      </c>
      <c r="E38" s="325" t="s">
        <v>208</v>
      </c>
      <c r="F38" s="317">
        <v>0.99543383874273916</v>
      </c>
    </row>
    <row r="39" spans="2:6" s="161" customFormat="1" x14ac:dyDescent="0.25">
      <c r="B39" s="322">
        <v>33</v>
      </c>
      <c r="C39" s="323" t="s">
        <v>308</v>
      </c>
      <c r="D39" s="324" t="s">
        <v>309</v>
      </c>
      <c r="E39" s="325" t="s">
        <v>208</v>
      </c>
      <c r="F39" s="317">
        <v>1</v>
      </c>
    </row>
    <row r="40" spans="2:6" s="161" customFormat="1" x14ac:dyDescent="0.25">
      <c r="B40" s="322">
        <v>34</v>
      </c>
      <c r="C40" s="323" t="s">
        <v>290</v>
      </c>
      <c r="D40" s="324" t="s">
        <v>291</v>
      </c>
      <c r="E40" s="325" t="s">
        <v>208</v>
      </c>
      <c r="F40" s="317">
        <v>1</v>
      </c>
    </row>
    <row r="41" spans="2:6" s="161" customFormat="1" x14ac:dyDescent="0.25">
      <c r="B41" s="322">
        <v>35</v>
      </c>
      <c r="C41" s="323" t="s">
        <v>248</v>
      </c>
      <c r="D41" s="324" t="s">
        <v>249</v>
      </c>
      <c r="E41" s="325" t="s">
        <v>208</v>
      </c>
      <c r="F41" s="317">
        <v>0.99177870687780023</v>
      </c>
    </row>
    <row r="42" spans="2:6" s="161" customFormat="1" x14ac:dyDescent="0.25">
      <c r="B42" s="322">
        <v>36</v>
      </c>
      <c r="C42" s="323" t="s">
        <v>294</v>
      </c>
      <c r="D42" s="324" t="s">
        <v>295</v>
      </c>
      <c r="E42" s="325" t="s">
        <v>209</v>
      </c>
      <c r="F42" s="317">
        <v>0.65605190915897182</v>
      </c>
    </row>
    <row r="43" spans="2:6" s="161" customFormat="1" x14ac:dyDescent="0.25">
      <c r="B43" s="322">
        <v>37</v>
      </c>
      <c r="C43" s="323" t="s">
        <v>357</v>
      </c>
      <c r="D43" s="324" t="s">
        <v>358</v>
      </c>
      <c r="E43" s="325" t="s">
        <v>209</v>
      </c>
      <c r="F43" s="317">
        <v>0.79227027315977971</v>
      </c>
    </row>
    <row r="44" spans="2:6" s="161" customFormat="1" x14ac:dyDescent="0.25">
      <c r="B44" s="322">
        <v>38</v>
      </c>
      <c r="C44" s="323" t="s">
        <v>296</v>
      </c>
      <c r="D44" s="324" t="s">
        <v>297</v>
      </c>
      <c r="E44" s="325" t="s">
        <v>209</v>
      </c>
      <c r="F44" s="317">
        <v>0.74659484696320211</v>
      </c>
    </row>
    <row r="45" spans="2:6" s="161" customFormat="1" x14ac:dyDescent="0.25">
      <c r="B45" s="322">
        <v>39</v>
      </c>
      <c r="C45" s="323" t="s">
        <v>298</v>
      </c>
      <c r="D45" s="324" t="s">
        <v>299</v>
      </c>
      <c r="E45" s="325" t="s">
        <v>208</v>
      </c>
      <c r="F45" s="317">
        <v>0.85685114451625843</v>
      </c>
    </row>
    <row r="46" spans="2:6" s="161" customFormat="1" x14ac:dyDescent="0.25">
      <c r="B46" s="322">
        <v>40</v>
      </c>
      <c r="C46" s="323" t="s">
        <v>300</v>
      </c>
      <c r="D46" s="324" t="s">
        <v>301</v>
      </c>
      <c r="E46" s="325" t="s">
        <v>208</v>
      </c>
      <c r="F46" s="317">
        <v>0.96286119482361276</v>
      </c>
    </row>
    <row r="47" spans="2:6" s="161" customFormat="1" x14ac:dyDescent="0.25">
      <c r="B47" s="322">
        <v>41</v>
      </c>
      <c r="C47" s="323" t="s">
        <v>355</v>
      </c>
      <c r="D47" s="324" t="s">
        <v>356</v>
      </c>
      <c r="E47" s="325" t="s">
        <v>208</v>
      </c>
      <c r="F47" s="317">
        <v>0.84117434102780686</v>
      </c>
    </row>
    <row r="48" spans="2:6" s="161" customFormat="1" x14ac:dyDescent="0.25">
      <c r="B48" s="322">
        <v>42</v>
      </c>
      <c r="C48" s="323" t="s">
        <v>605</v>
      </c>
      <c r="D48" s="324" t="s">
        <v>253</v>
      </c>
      <c r="E48" s="325" t="s">
        <v>208</v>
      </c>
      <c r="F48" s="317">
        <v>0.99316473681414996</v>
      </c>
    </row>
    <row r="49" spans="2:6" s="161" customFormat="1" x14ac:dyDescent="0.25">
      <c r="B49" s="322">
        <v>43</v>
      </c>
      <c r="C49" s="323" t="s">
        <v>364</v>
      </c>
      <c r="D49" s="324" t="s">
        <v>365</v>
      </c>
      <c r="E49" s="325" t="s">
        <v>208</v>
      </c>
      <c r="F49" s="317">
        <v>1</v>
      </c>
    </row>
    <row r="50" spans="2:6" s="161" customFormat="1" x14ac:dyDescent="0.25">
      <c r="B50" s="322">
        <v>44</v>
      </c>
      <c r="C50" s="323" t="s">
        <v>256</v>
      </c>
      <c r="D50" s="324" t="s">
        <v>257</v>
      </c>
      <c r="E50" s="325" t="s">
        <v>208</v>
      </c>
      <c r="F50" s="317">
        <v>0.99317999999999995</v>
      </c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/>
      <c r="C53" s="323"/>
      <c r="D53" s="324"/>
      <c r="E53" s="325"/>
      <c r="F53" s="317"/>
    </row>
    <row r="54" spans="2:6" s="161" customFormat="1" x14ac:dyDescent="0.25">
      <c r="B54" s="322">
        <v>1</v>
      </c>
      <c r="C54" s="323" t="s">
        <v>606</v>
      </c>
      <c r="D54" s="324" t="s">
        <v>260</v>
      </c>
      <c r="E54" s="325" t="s">
        <v>208</v>
      </c>
      <c r="F54" s="317">
        <v>0.90779036389525458</v>
      </c>
    </row>
    <row r="55" spans="2:6" s="161" customFormat="1" x14ac:dyDescent="0.25">
      <c r="B55" s="322">
        <v>2</v>
      </c>
      <c r="C55" s="323" t="s">
        <v>607</v>
      </c>
      <c r="D55" s="324" t="s">
        <v>265</v>
      </c>
      <c r="E55" s="325" t="s">
        <v>209</v>
      </c>
      <c r="F55" s="317">
        <v>0.70705191798941791</v>
      </c>
    </row>
    <row r="56" spans="2:6" s="161" customFormat="1" x14ac:dyDescent="0.25">
      <c r="B56" s="322">
        <v>3</v>
      </c>
      <c r="C56" s="323" t="s">
        <v>611</v>
      </c>
      <c r="D56" s="324" t="s">
        <v>369</v>
      </c>
      <c r="E56" s="325" t="s">
        <v>208</v>
      </c>
      <c r="F56" s="317">
        <v>1</v>
      </c>
    </row>
    <row r="57" spans="2:6" s="161" customFormat="1" x14ac:dyDescent="0.25">
      <c r="B57" s="322">
        <v>4</v>
      </c>
      <c r="C57" s="323" t="s">
        <v>608</v>
      </c>
      <c r="D57" s="324" t="s">
        <v>293</v>
      </c>
      <c r="E57" s="325" t="s">
        <v>208</v>
      </c>
      <c r="F57" s="317">
        <v>1</v>
      </c>
    </row>
    <row r="58" spans="2:6" s="161" customFormat="1" x14ac:dyDescent="0.25">
      <c r="B58" s="322">
        <v>5</v>
      </c>
      <c r="C58" s="323" t="s">
        <v>609</v>
      </c>
      <c r="D58" s="324" t="s">
        <v>221</v>
      </c>
      <c r="E58" s="325" t="s">
        <v>208</v>
      </c>
      <c r="F58" s="317">
        <v>0.81182116104868918</v>
      </c>
    </row>
    <row r="59" spans="2:6" s="161" customFormat="1" x14ac:dyDescent="0.25">
      <c r="B59" s="322">
        <v>6</v>
      </c>
      <c r="C59" s="323" t="s">
        <v>610</v>
      </c>
      <c r="D59" s="324" t="s">
        <v>311</v>
      </c>
      <c r="E59" s="325" t="s">
        <v>208</v>
      </c>
      <c r="F59" s="317">
        <v>0.94743999999999995</v>
      </c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602</v>
      </c>
      <c r="C1" s="154"/>
    </row>
    <row r="3" spans="1:6" x14ac:dyDescent="0.25">
      <c r="E3" s="165">
        <v>42369</v>
      </c>
    </row>
    <row r="5" spans="1:6" s="156" customFormat="1" ht="27.6" x14ac:dyDescent="0.25">
      <c r="C5" s="157" t="s">
        <v>217</v>
      </c>
      <c r="D5" s="158" t="s">
        <v>603</v>
      </c>
      <c r="E5" s="159" t="s">
        <v>604</v>
      </c>
    </row>
    <row r="6" spans="1:6" x14ac:dyDescent="0.25">
      <c r="E6" s="160"/>
    </row>
    <row r="7" spans="1:6" s="161" customFormat="1" x14ac:dyDescent="0.25">
      <c r="B7" s="322">
        <f t="shared" ref="B7:B61" ca="1" si="0">OFFSET( B7, -1, 0 ) + 1</f>
        <v>1</v>
      </c>
      <c r="C7" s="323" t="s">
        <v>222</v>
      </c>
      <c r="D7" s="324" t="s">
        <v>223</v>
      </c>
      <c r="E7" s="325" t="s">
        <v>209</v>
      </c>
      <c r="F7" s="317">
        <v>0.78714515701738286</v>
      </c>
    </row>
    <row r="8" spans="1:6" s="161" customFormat="1" x14ac:dyDescent="0.25">
      <c r="B8" s="322">
        <f t="shared" ca="1" si="0"/>
        <v>2</v>
      </c>
      <c r="C8" s="323" t="s">
        <v>224</v>
      </c>
      <c r="D8" s="324" t="s">
        <v>225</v>
      </c>
      <c r="E8" s="325" t="s">
        <v>208</v>
      </c>
      <c r="F8" s="317">
        <v>0.89239067802035976</v>
      </c>
    </row>
    <row r="9" spans="1:6" s="161" customFormat="1" x14ac:dyDescent="0.25">
      <c r="B9" s="322">
        <f t="shared" ca="1" si="0"/>
        <v>3</v>
      </c>
      <c r="C9" s="323" t="s">
        <v>230</v>
      </c>
      <c r="D9" s="324" t="s">
        <v>231</v>
      </c>
      <c r="E9" s="325" t="s">
        <v>208</v>
      </c>
      <c r="F9" s="317">
        <v>1</v>
      </c>
    </row>
    <row r="10" spans="1:6" s="161" customFormat="1" x14ac:dyDescent="0.25">
      <c r="B10" s="322">
        <f t="shared" ca="1" si="0"/>
        <v>4</v>
      </c>
      <c r="C10" s="323" t="s">
        <v>227</v>
      </c>
      <c r="D10" s="324" t="s">
        <v>228</v>
      </c>
      <c r="E10" s="325" t="s">
        <v>208</v>
      </c>
      <c r="F10" s="317">
        <v>0.89886208702221515</v>
      </c>
    </row>
    <row r="11" spans="1:6" s="161" customFormat="1" x14ac:dyDescent="0.25">
      <c r="B11" s="322">
        <f t="shared" ca="1" si="0"/>
        <v>5</v>
      </c>
      <c r="C11" s="323" t="s">
        <v>238</v>
      </c>
      <c r="D11" s="324" t="s">
        <v>239</v>
      </c>
      <c r="E11" s="325" t="s">
        <v>209</v>
      </c>
      <c r="F11" s="317">
        <v>0.55099999999999993</v>
      </c>
    </row>
    <row r="12" spans="1:6" s="161" customFormat="1" x14ac:dyDescent="0.25">
      <c r="B12" s="322">
        <f t="shared" ca="1" si="0"/>
        <v>6</v>
      </c>
      <c r="C12" s="323" t="s">
        <v>243</v>
      </c>
      <c r="D12" s="324" t="s">
        <v>244</v>
      </c>
      <c r="E12" s="325" t="s">
        <v>208</v>
      </c>
      <c r="F12" s="317">
        <v>0.99200961796941245</v>
      </c>
    </row>
    <row r="13" spans="1:6" s="161" customFormat="1" x14ac:dyDescent="0.25">
      <c r="B13" s="322">
        <f t="shared" ca="1" si="0"/>
        <v>7</v>
      </c>
      <c r="C13" s="323" t="s">
        <v>250</v>
      </c>
      <c r="D13" s="324" t="s">
        <v>251</v>
      </c>
      <c r="E13" s="325" t="s">
        <v>208</v>
      </c>
      <c r="F13" s="317">
        <v>0.80003806249853648</v>
      </c>
    </row>
    <row r="14" spans="1:6" s="161" customFormat="1" x14ac:dyDescent="0.25">
      <c r="B14" s="322">
        <f t="shared" ca="1" si="0"/>
        <v>8</v>
      </c>
      <c r="C14" s="323" t="s">
        <v>254</v>
      </c>
      <c r="D14" s="324" t="s">
        <v>255</v>
      </c>
      <c r="E14" s="325" t="s">
        <v>209</v>
      </c>
      <c r="F14" s="317">
        <v>0.74153804494990516</v>
      </c>
    </row>
    <row r="15" spans="1:6" s="161" customFormat="1" x14ac:dyDescent="0.25">
      <c r="B15" s="322">
        <f t="shared" ca="1" si="0"/>
        <v>9</v>
      </c>
      <c r="C15" s="323" t="s">
        <v>259</v>
      </c>
      <c r="D15" s="324" t="s">
        <v>388</v>
      </c>
      <c r="E15" s="325" t="s">
        <v>208</v>
      </c>
      <c r="F15" s="317">
        <v>0.9791788967546956</v>
      </c>
    </row>
    <row r="16" spans="1:6" s="161" customFormat="1" x14ac:dyDescent="0.25">
      <c r="B16" s="322">
        <f t="shared" ca="1" si="0"/>
        <v>10</v>
      </c>
      <c r="C16" s="323" t="s">
        <v>261</v>
      </c>
      <c r="D16" s="324" t="s">
        <v>262</v>
      </c>
      <c r="E16" s="325" t="s">
        <v>208</v>
      </c>
      <c r="F16" s="317">
        <v>0.91415929203539825</v>
      </c>
    </row>
    <row r="17" spans="2:6" s="161" customFormat="1" x14ac:dyDescent="0.25">
      <c r="B17" s="322">
        <f t="shared" ca="1" si="0"/>
        <v>11</v>
      </c>
      <c r="C17" s="323" t="s">
        <v>232</v>
      </c>
      <c r="D17" s="324" t="s">
        <v>233</v>
      </c>
      <c r="E17" s="325" t="s">
        <v>208</v>
      </c>
      <c r="F17" s="317">
        <v>0.88287103983173398</v>
      </c>
    </row>
    <row r="18" spans="2:6" s="161" customFormat="1" x14ac:dyDescent="0.25">
      <c r="B18" s="322">
        <f t="shared" ca="1" si="0"/>
        <v>12</v>
      </c>
      <c r="C18" s="323" t="s">
        <v>371</v>
      </c>
      <c r="D18" s="324" t="s">
        <v>199</v>
      </c>
      <c r="E18" s="325" t="s">
        <v>209</v>
      </c>
      <c r="F18" s="317">
        <v>0.6468401360544217</v>
      </c>
    </row>
    <row r="19" spans="2:6" s="161" customFormat="1" x14ac:dyDescent="0.25">
      <c r="B19" s="322">
        <f t="shared" ca="1" si="0"/>
        <v>13</v>
      </c>
      <c r="C19" s="323" t="s">
        <v>266</v>
      </c>
      <c r="D19" s="324" t="s">
        <v>267</v>
      </c>
      <c r="E19" s="325" t="s">
        <v>208</v>
      </c>
      <c r="F19" s="317">
        <v>0.82952291470925987</v>
      </c>
    </row>
    <row r="20" spans="2:6" s="161" customFormat="1" x14ac:dyDescent="0.25">
      <c r="B20" s="322">
        <f t="shared" ca="1" si="0"/>
        <v>14</v>
      </c>
      <c r="C20" s="323" t="s">
        <v>268</v>
      </c>
      <c r="D20" s="324" t="s">
        <v>269</v>
      </c>
      <c r="E20" s="325" t="s">
        <v>208</v>
      </c>
      <c r="F20" s="317">
        <v>0.92081283634322686</v>
      </c>
    </row>
    <row r="21" spans="2:6" s="161" customFormat="1" x14ac:dyDescent="0.25">
      <c r="B21" s="322">
        <f t="shared" ca="1" si="0"/>
        <v>15</v>
      </c>
      <c r="C21" s="323" t="s">
        <v>270</v>
      </c>
      <c r="D21" s="324" t="s">
        <v>271</v>
      </c>
      <c r="E21" s="325" t="s">
        <v>208</v>
      </c>
      <c r="F21" s="317">
        <v>1</v>
      </c>
    </row>
    <row r="22" spans="2:6" s="161" customFormat="1" x14ac:dyDescent="0.25">
      <c r="B22" s="322">
        <f t="shared" ca="1" si="0"/>
        <v>16</v>
      </c>
      <c r="C22" s="323" t="s">
        <v>338</v>
      </c>
      <c r="D22" s="324" t="s">
        <v>341</v>
      </c>
      <c r="E22" s="325" t="s">
        <v>208</v>
      </c>
      <c r="F22" s="317">
        <v>1</v>
      </c>
    </row>
    <row r="23" spans="2:6" s="161" customFormat="1" x14ac:dyDescent="0.25">
      <c r="B23" s="322">
        <f t="shared" ca="1" si="0"/>
        <v>17</v>
      </c>
      <c r="C23" s="323" t="s">
        <v>377</v>
      </c>
      <c r="D23" s="324" t="s">
        <v>378</v>
      </c>
      <c r="E23" s="325" t="s">
        <v>208</v>
      </c>
      <c r="F23" s="317">
        <v>1.0050576242524851</v>
      </c>
    </row>
    <row r="24" spans="2:6" s="161" customFormat="1" x14ac:dyDescent="0.25">
      <c r="B24" s="322">
        <f t="shared" ca="1" si="0"/>
        <v>18</v>
      </c>
      <c r="C24" s="323" t="s">
        <v>272</v>
      </c>
      <c r="D24" s="324" t="s">
        <v>273</v>
      </c>
      <c r="E24" s="325" t="s">
        <v>208</v>
      </c>
      <c r="F24" s="317">
        <v>0.85910186466347471</v>
      </c>
    </row>
    <row r="25" spans="2:6" s="161" customFormat="1" x14ac:dyDescent="0.25">
      <c r="B25" s="322">
        <f t="shared" ca="1" si="0"/>
        <v>19</v>
      </c>
      <c r="C25" s="323" t="s">
        <v>240</v>
      </c>
      <c r="D25" s="324" t="s">
        <v>241</v>
      </c>
      <c r="E25" s="325" t="s">
        <v>208</v>
      </c>
      <c r="F25" s="317">
        <v>0.95175979306939418</v>
      </c>
    </row>
    <row r="26" spans="2:6" s="161" customFormat="1" x14ac:dyDescent="0.25">
      <c r="B26" s="322">
        <f t="shared" ca="1" si="0"/>
        <v>20</v>
      </c>
      <c r="C26" s="323" t="s">
        <v>274</v>
      </c>
      <c r="D26" s="324" t="s">
        <v>275</v>
      </c>
      <c r="E26" s="325" t="s">
        <v>199</v>
      </c>
      <c r="F26" s="317">
        <v>0.47381112136207332</v>
      </c>
    </row>
    <row r="27" spans="2:6" s="161" customFormat="1" x14ac:dyDescent="0.25">
      <c r="B27" s="322">
        <f t="shared" ca="1" si="0"/>
        <v>21</v>
      </c>
      <c r="C27" s="323" t="s">
        <v>280</v>
      </c>
      <c r="D27" s="324" t="s">
        <v>281</v>
      </c>
      <c r="E27" s="325" t="s">
        <v>209</v>
      </c>
      <c r="F27" s="317">
        <v>0.67670109414221935</v>
      </c>
    </row>
    <row r="28" spans="2:6" s="161" customFormat="1" x14ac:dyDescent="0.25">
      <c r="B28" s="322">
        <f t="shared" ca="1" si="0"/>
        <v>22</v>
      </c>
      <c r="C28" s="323" t="s">
        <v>362</v>
      </c>
      <c r="D28" s="324" t="s">
        <v>363</v>
      </c>
      <c r="E28" s="325" t="s">
        <v>208</v>
      </c>
      <c r="F28" s="317">
        <v>1.0285791443949863</v>
      </c>
    </row>
    <row r="29" spans="2:6" s="161" customFormat="1" x14ac:dyDescent="0.25">
      <c r="B29" s="322">
        <f t="shared" ca="1" si="0"/>
        <v>23</v>
      </c>
      <c r="C29" s="323" t="s">
        <v>284</v>
      </c>
      <c r="D29" s="324" t="s">
        <v>285</v>
      </c>
      <c r="E29" s="325" t="s">
        <v>199</v>
      </c>
      <c r="F29" s="317">
        <v>0.48176077819232183</v>
      </c>
    </row>
    <row r="30" spans="2:6" s="161" customFormat="1" x14ac:dyDescent="0.25">
      <c r="B30" s="322">
        <f t="shared" ca="1" si="0"/>
        <v>24</v>
      </c>
      <c r="C30" s="323" t="s">
        <v>288</v>
      </c>
      <c r="D30" s="324" t="s">
        <v>289</v>
      </c>
      <c r="E30" s="325" t="s">
        <v>208</v>
      </c>
      <c r="F30" s="317">
        <v>0.99095531131201209</v>
      </c>
    </row>
    <row r="31" spans="2:6" s="161" customFormat="1" x14ac:dyDescent="0.25">
      <c r="B31" s="322">
        <f t="shared" ca="1" si="0"/>
        <v>25</v>
      </c>
      <c r="C31" s="323" t="s">
        <v>276</v>
      </c>
      <c r="D31" s="324" t="s">
        <v>277</v>
      </c>
      <c r="E31" s="325" t="s">
        <v>209</v>
      </c>
      <c r="F31" s="317">
        <v>0.50850668898945151</v>
      </c>
    </row>
    <row r="32" spans="2:6" s="161" customFormat="1" x14ac:dyDescent="0.25">
      <c r="B32" s="322">
        <f t="shared" ca="1" si="0"/>
        <v>26</v>
      </c>
      <c r="C32" s="323" t="s">
        <v>313</v>
      </c>
      <c r="D32" s="324" t="s">
        <v>471</v>
      </c>
      <c r="E32" s="325" t="s">
        <v>209</v>
      </c>
      <c r="F32" s="317">
        <v>0.77746229357018903</v>
      </c>
    </row>
    <row r="33" spans="2:6" s="161" customFormat="1" x14ac:dyDescent="0.25">
      <c r="B33" s="322">
        <f t="shared" ca="1" si="0"/>
        <v>27</v>
      </c>
      <c r="C33" s="323" t="s">
        <v>245</v>
      </c>
      <c r="D33" s="324" t="s">
        <v>246</v>
      </c>
      <c r="E33" s="325" t="s">
        <v>209</v>
      </c>
      <c r="F33" s="317">
        <v>0.51556153687605333</v>
      </c>
    </row>
    <row r="34" spans="2:6" s="161" customFormat="1" x14ac:dyDescent="0.25">
      <c r="B34" s="322">
        <f t="shared" ca="1" si="0"/>
        <v>28</v>
      </c>
      <c r="C34" s="323" t="s">
        <v>278</v>
      </c>
      <c r="D34" s="324" t="s">
        <v>279</v>
      </c>
      <c r="E34" s="325" t="s">
        <v>208</v>
      </c>
      <c r="F34" s="317">
        <v>0.87807917679005287</v>
      </c>
    </row>
    <row r="35" spans="2:6" s="161" customFormat="1" x14ac:dyDescent="0.25">
      <c r="B35" s="322">
        <f t="shared" ca="1" si="0"/>
        <v>29</v>
      </c>
      <c r="C35" s="323" t="s">
        <v>302</v>
      </c>
      <c r="D35" s="324" t="s">
        <v>303</v>
      </c>
      <c r="E35" s="325" t="s">
        <v>208</v>
      </c>
      <c r="F35" s="317">
        <v>0.99859509267538604</v>
      </c>
    </row>
    <row r="36" spans="2:6" s="161" customFormat="1" x14ac:dyDescent="0.25">
      <c r="B36" s="322">
        <f t="shared" ca="1" si="0"/>
        <v>30</v>
      </c>
      <c r="C36" s="323" t="s">
        <v>282</v>
      </c>
      <c r="D36" s="324" t="s">
        <v>283</v>
      </c>
      <c r="E36" s="325" t="s">
        <v>208</v>
      </c>
      <c r="F36" s="317">
        <v>0.89001187821701711</v>
      </c>
    </row>
    <row r="37" spans="2:6" s="161" customFormat="1" x14ac:dyDescent="0.25">
      <c r="B37" s="322">
        <f t="shared" ca="1" si="0"/>
        <v>31</v>
      </c>
      <c r="C37" s="323" t="s">
        <v>304</v>
      </c>
      <c r="D37" s="324" t="s">
        <v>305</v>
      </c>
      <c r="E37" s="325" t="s">
        <v>208</v>
      </c>
      <c r="F37" s="317">
        <v>0.83639005680694867</v>
      </c>
    </row>
    <row r="38" spans="2:6" s="161" customFormat="1" x14ac:dyDescent="0.25">
      <c r="B38" s="322">
        <f t="shared" ca="1" si="0"/>
        <v>32</v>
      </c>
      <c r="C38" s="323" t="s">
        <v>306</v>
      </c>
      <c r="D38" s="324" t="s">
        <v>307</v>
      </c>
      <c r="E38" s="325" t="s">
        <v>208</v>
      </c>
      <c r="F38" s="317">
        <v>1</v>
      </c>
    </row>
    <row r="39" spans="2:6" s="161" customFormat="1" x14ac:dyDescent="0.25">
      <c r="B39" s="322">
        <f t="shared" ca="1" si="0"/>
        <v>33</v>
      </c>
      <c r="C39" s="323" t="s">
        <v>286</v>
      </c>
      <c r="D39" s="324" t="s">
        <v>287</v>
      </c>
      <c r="E39" s="325" t="s">
        <v>208</v>
      </c>
      <c r="F39" s="317">
        <v>0.99693404252176143</v>
      </c>
    </row>
    <row r="40" spans="2:6" s="161" customFormat="1" x14ac:dyDescent="0.25">
      <c r="B40" s="322">
        <f t="shared" ca="1" si="0"/>
        <v>34</v>
      </c>
      <c r="C40" s="323" t="s">
        <v>308</v>
      </c>
      <c r="D40" s="324" t="s">
        <v>309</v>
      </c>
      <c r="E40" s="325" t="s">
        <v>208</v>
      </c>
      <c r="F40" s="317">
        <v>1</v>
      </c>
    </row>
    <row r="41" spans="2:6" s="161" customFormat="1" x14ac:dyDescent="0.25">
      <c r="B41" s="322">
        <f t="shared" ca="1" si="0"/>
        <v>35</v>
      </c>
      <c r="C41" s="323" t="s">
        <v>290</v>
      </c>
      <c r="D41" s="324" t="s">
        <v>291</v>
      </c>
      <c r="E41" s="325" t="s">
        <v>208</v>
      </c>
      <c r="F41" s="317">
        <v>1</v>
      </c>
    </row>
    <row r="42" spans="2:6" s="161" customFormat="1" x14ac:dyDescent="0.25">
      <c r="B42" s="322">
        <f t="shared" ca="1" si="0"/>
        <v>36</v>
      </c>
      <c r="C42" s="323" t="s">
        <v>248</v>
      </c>
      <c r="D42" s="324" t="s">
        <v>249</v>
      </c>
      <c r="E42" s="325" t="s">
        <v>208</v>
      </c>
      <c r="F42" s="317">
        <v>0.99071270451133564</v>
      </c>
    </row>
    <row r="43" spans="2:6" s="161" customFormat="1" x14ac:dyDescent="0.25">
      <c r="B43" s="322">
        <f t="shared" ca="1" si="0"/>
        <v>37</v>
      </c>
      <c r="C43" s="323" t="s">
        <v>294</v>
      </c>
      <c r="D43" s="324" t="s">
        <v>295</v>
      </c>
      <c r="E43" s="325" t="s">
        <v>209</v>
      </c>
      <c r="F43" s="317">
        <v>0.63079792193952311</v>
      </c>
    </row>
    <row r="44" spans="2:6" s="161" customFormat="1" x14ac:dyDescent="0.25">
      <c r="B44" s="322">
        <f t="shared" ca="1" si="0"/>
        <v>38</v>
      </c>
      <c r="C44" s="323" t="s">
        <v>357</v>
      </c>
      <c r="D44" s="324" t="s">
        <v>358</v>
      </c>
      <c r="E44" s="325" t="s">
        <v>209</v>
      </c>
      <c r="F44" s="317">
        <v>0.7867141024145573</v>
      </c>
    </row>
    <row r="45" spans="2:6" s="161" customFormat="1" x14ac:dyDescent="0.25">
      <c r="B45" s="322">
        <f t="shared" ca="1" si="0"/>
        <v>39</v>
      </c>
      <c r="C45" s="323" t="s">
        <v>296</v>
      </c>
      <c r="D45" s="324" t="s">
        <v>297</v>
      </c>
      <c r="E45" s="325" t="s">
        <v>209</v>
      </c>
      <c r="F45" s="317">
        <v>0.78586206561360905</v>
      </c>
    </row>
    <row r="46" spans="2:6" s="161" customFormat="1" x14ac:dyDescent="0.25">
      <c r="B46" s="322">
        <f t="shared" ca="1" si="0"/>
        <v>40</v>
      </c>
      <c r="C46" s="323" t="s">
        <v>298</v>
      </c>
      <c r="D46" s="324" t="s">
        <v>299</v>
      </c>
      <c r="E46" s="325" t="s">
        <v>208</v>
      </c>
      <c r="F46" s="317">
        <v>0.88168747925125768</v>
      </c>
    </row>
    <row r="47" spans="2:6" s="161" customFormat="1" x14ac:dyDescent="0.25">
      <c r="B47" s="322">
        <f t="shared" ca="1" si="0"/>
        <v>41</v>
      </c>
      <c r="C47" s="323" t="s">
        <v>379</v>
      </c>
      <c r="D47" s="324" t="s">
        <v>385</v>
      </c>
      <c r="E47" s="325" t="s">
        <v>208</v>
      </c>
      <c r="F47" s="317">
        <v>1.0477954715380926</v>
      </c>
    </row>
    <row r="48" spans="2:6" s="161" customFormat="1" x14ac:dyDescent="0.25">
      <c r="B48" s="322">
        <f t="shared" ca="1" si="0"/>
        <v>42</v>
      </c>
      <c r="C48" s="323" t="s">
        <v>300</v>
      </c>
      <c r="D48" s="324" t="s">
        <v>301</v>
      </c>
      <c r="E48" s="325" t="s">
        <v>208</v>
      </c>
      <c r="F48" s="317">
        <v>0.96855886850152895</v>
      </c>
    </row>
    <row r="49" spans="2:6" s="161" customFormat="1" x14ac:dyDescent="0.25">
      <c r="B49" s="322">
        <f t="shared" ca="1" si="0"/>
        <v>43</v>
      </c>
      <c r="C49" s="323" t="s">
        <v>355</v>
      </c>
      <c r="D49" s="324" t="s">
        <v>356</v>
      </c>
      <c r="E49" s="325" t="s">
        <v>208</v>
      </c>
      <c r="F49" s="317">
        <v>0.82990443446274409</v>
      </c>
    </row>
    <row r="50" spans="2:6" s="161" customFormat="1" x14ac:dyDescent="0.25">
      <c r="B50" s="322">
        <f t="shared" ca="1" si="0"/>
        <v>44</v>
      </c>
      <c r="C50" s="323" t="s">
        <v>605</v>
      </c>
      <c r="D50" s="324" t="s">
        <v>253</v>
      </c>
      <c r="E50" s="325" t="s">
        <v>208</v>
      </c>
      <c r="F50" s="317">
        <v>1</v>
      </c>
    </row>
    <row r="51" spans="2:6" s="161" customFormat="1" x14ac:dyDescent="0.25">
      <c r="B51" s="322">
        <f t="shared" ca="1" si="0"/>
        <v>45</v>
      </c>
      <c r="C51" s="323" t="s">
        <v>364</v>
      </c>
      <c r="D51" s="324" t="s">
        <v>365</v>
      </c>
      <c r="E51" s="325" t="s">
        <v>208</v>
      </c>
      <c r="F51" s="317">
        <v>0.98699999999999999</v>
      </c>
    </row>
    <row r="52" spans="2:6" s="161" customFormat="1" x14ac:dyDescent="0.25">
      <c r="B52" s="322">
        <f t="shared" ca="1" si="0"/>
        <v>46</v>
      </c>
      <c r="C52" s="323" t="s">
        <v>256</v>
      </c>
      <c r="D52" s="324" t="s">
        <v>257</v>
      </c>
      <c r="E52" s="325" t="s">
        <v>208</v>
      </c>
      <c r="F52" s="317">
        <v>1.0439999999999998</v>
      </c>
    </row>
    <row r="53" spans="2:6" s="161" customFormat="1" x14ac:dyDescent="0.25">
      <c r="B53" s="322"/>
      <c r="C53" s="323"/>
      <c r="D53" s="324"/>
      <c r="E53" s="325"/>
      <c r="F53" s="317"/>
    </row>
    <row r="54" spans="2:6" s="161" customFormat="1" x14ac:dyDescent="0.25">
      <c r="B54" s="322"/>
      <c r="C54" s="323"/>
      <c r="D54" s="324"/>
      <c r="E54" s="325"/>
      <c r="F54" s="317"/>
    </row>
    <row r="55" spans="2:6" s="161" customFormat="1" x14ac:dyDescent="0.25">
      <c r="B55" s="322"/>
      <c r="C55" s="323"/>
      <c r="D55" s="324"/>
      <c r="E55" s="325"/>
      <c r="F55" s="317"/>
    </row>
    <row r="56" spans="2:6" s="161" customFormat="1" x14ac:dyDescent="0.25">
      <c r="B56" s="322"/>
      <c r="C56" s="323"/>
      <c r="D56" s="324"/>
      <c r="E56" s="325"/>
      <c r="F56" s="317"/>
    </row>
    <row r="57" spans="2:6" s="161" customFormat="1" x14ac:dyDescent="0.25">
      <c r="B57" s="322">
        <f t="shared" ca="1" si="0"/>
        <v>1</v>
      </c>
      <c r="C57" s="323" t="s">
        <v>607</v>
      </c>
      <c r="D57" s="324" t="s">
        <v>265</v>
      </c>
      <c r="E57" s="325" t="s">
        <v>209</v>
      </c>
      <c r="F57" s="317">
        <v>1.0074832375478926</v>
      </c>
    </row>
    <row r="58" spans="2:6" s="161" customFormat="1" x14ac:dyDescent="0.25">
      <c r="B58" s="322">
        <f t="shared" ca="1" si="0"/>
        <v>2</v>
      </c>
      <c r="C58" s="323" t="s">
        <v>611</v>
      </c>
      <c r="D58" s="324" t="s">
        <v>369</v>
      </c>
      <c r="E58" s="325" t="s">
        <v>208</v>
      </c>
      <c r="F58" s="317">
        <v>0.25970852978997</v>
      </c>
    </row>
    <row r="59" spans="2:6" s="161" customFormat="1" x14ac:dyDescent="0.25">
      <c r="B59" s="322">
        <f t="shared" ca="1" si="0"/>
        <v>3</v>
      </c>
      <c r="C59" s="323" t="s">
        <v>608</v>
      </c>
      <c r="D59" s="324" t="s">
        <v>293</v>
      </c>
      <c r="E59" s="325" t="s">
        <v>208</v>
      </c>
      <c r="F59" s="317">
        <v>1</v>
      </c>
    </row>
    <row r="60" spans="2:6" s="161" customFormat="1" x14ac:dyDescent="0.25">
      <c r="B60" s="322">
        <f t="shared" ca="1" si="0"/>
        <v>4</v>
      </c>
      <c r="C60" s="323" t="s">
        <v>609</v>
      </c>
      <c r="D60" s="324" t="s">
        <v>221</v>
      </c>
      <c r="E60" s="325" t="s">
        <v>208</v>
      </c>
      <c r="F60" s="317">
        <v>0.81867540481714463</v>
      </c>
    </row>
    <row r="61" spans="2:6" s="161" customFormat="1" x14ac:dyDescent="0.25">
      <c r="B61" s="322">
        <f t="shared" ca="1" si="0"/>
        <v>5</v>
      </c>
      <c r="C61" s="323" t="s">
        <v>610</v>
      </c>
      <c r="D61" s="324" t="s">
        <v>311</v>
      </c>
      <c r="E61" s="325" t="s">
        <v>208</v>
      </c>
      <c r="F61" s="317">
        <v>0.95299999999999996</v>
      </c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602</v>
      </c>
      <c r="C1" s="154"/>
    </row>
    <row r="3" spans="1:6" x14ac:dyDescent="0.25">
      <c r="E3" s="165">
        <v>42004</v>
      </c>
    </row>
    <row r="5" spans="1:6" s="156" customFormat="1" ht="27.6" x14ac:dyDescent="0.25">
      <c r="C5" s="157" t="s">
        <v>217</v>
      </c>
      <c r="D5" s="158" t="s">
        <v>603</v>
      </c>
      <c r="E5" s="159" t="s">
        <v>604</v>
      </c>
    </row>
    <row r="6" spans="1:6" x14ac:dyDescent="0.25">
      <c r="E6" s="160"/>
    </row>
    <row r="7" spans="1:6" s="161" customFormat="1" x14ac:dyDescent="0.25">
      <c r="B7" s="162">
        <v>1</v>
      </c>
      <c r="C7" s="161" t="s">
        <v>222</v>
      </c>
      <c r="D7" s="163" t="s">
        <v>223</v>
      </c>
      <c r="E7" s="164" t="s">
        <v>208</v>
      </c>
      <c r="F7" s="317">
        <v>0.85066960190790675</v>
      </c>
    </row>
    <row r="8" spans="1:6" s="161" customFormat="1" x14ac:dyDescent="0.25">
      <c r="B8" s="162">
        <v>2</v>
      </c>
      <c r="C8" s="161" t="s">
        <v>224</v>
      </c>
      <c r="D8" s="163" t="s">
        <v>225</v>
      </c>
      <c r="E8" s="164" t="s">
        <v>208</v>
      </c>
      <c r="F8" s="317">
        <v>0.87489553943024512</v>
      </c>
    </row>
    <row r="9" spans="1:6" s="161" customFormat="1" x14ac:dyDescent="0.25">
      <c r="B9" s="162">
        <v>3</v>
      </c>
      <c r="C9" s="161" t="s">
        <v>230</v>
      </c>
      <c r="D9" s="163" t="s">
        <v>231</v>
      </c>
      <c r="E9" s="164" t="s">
        <v>208</v>
      </c>
      <c r="F9" s="317">
        <v>1</v>
      </c>
    </row>
    <row r="10" spans="1:6" s="161" customFormat="1" x14ac:dyDescent="0.25">
      <c r="B10" s="162">
        <v>4</v>
      </c>
      <c r="C10" s="161" t="s">
        <v>227</v>
      </c>
      <c r="D10" s="163" t="s">
        <v>228</v>
      </c>
      <c r="E10" s="164" t="s">
        <v>208</v>
      </c>
      <c r="F10" s="317">
        <v>0.86898193953012592</v>
      </c>
    </row>
    <row r="11" spans="1:6" s="161" customFormat="1" x14ac:dyDescent="0.25">
      <c r="B11" s="162">
        <v>5</v>
      </c>
      <c r="C11" s="161" t="s">
        <v>243</v>
      </c>
      <c r="D11" s="163" t="s">
        <v>244</v>
      </c>
      <c r="E11" s="164" t="s">
        <v>208</v>
      </c>
      <c r="F11" s="317">
        <v>0.98297869992579046</v>
      </c>
    </row>
    <row r="12" spans="1:6" s="161" customFormat="1" x14ac:dyDescent="0.25">
      <c r="B12" s="162">
        <v>6</v>
      </c>
      <c r="C12" s="161" t="s">
        <v>250</v>
      </c>
      <c r="D12" s="163" t="s">
        <v>251</v>
      </c>
      <c r="E12" s="164" t="s">
        <v>208</v>
      </c>
      <c r="F12" s="317">
        <v>0.85415133302771207</v>
      </c>
    </row>
    <row r="13" spans="1:6" s="161" customFormat="1" x14ac:dyDescent="0.25">
      <c r="B13" s="162">
        <v>7</v>
      </c>
      <c r="C13" s="161" t="s">
        <v>254</v>
      </c>
      <c r="D13" s="163" t="s">
        <v>255</v>
      </c>
      <c r="E13" s="164" t="s">
        <v>209</v>
      </c>
      <c r="F13" s="317">
        <v>0.65802997858672374</v>
      </c>
    </row>
    <row r="14" spans="1:6" s="161" customFormat="1" x14ac:dyDescent="0.25">
      <c r="B14" s="162">
        <v>8</v>
      </c>
      <c r="C14" s="161" t="s">
        <v>259</v>
      </c>
      <c r="D14" s="163" t="s">
        <v>388</v>
      </c>
      <c r="E14" s="164" t="s">
        <v>208</v>
      </c>
      <c r="F14" s="317">
        <v>0.9689233314904776</v>
      </c>
    </row>
    <row r="15" spans="1:6" s="161" customFormat="1" x14ac:dyDescent="0.25">
      <c r="B15" s="162">
        <v>9</v>
      </c>
      <c r="C15" s="161" t="s">
        <v>261</v>
      </c>
      <c r="D15" s="163" t="s">
        <v>262</v>
      </c>
      <c r="E15" s="164" t="s">
        <v>208</v>
      </c>
      <c r="F15" s="317">
        <v>0.88470158978368518</v>
      </c>
    </row>
    <row r="16" spans="1:6" s="161" customFormat="1" x14ac:dyDescent="0.25">
      <c r="B16" s="162">
        <v>10</v>
      </c>
      <c r="C16" s="161" t="s">
        <v>232</v>
      </c>
      <c r="D16" s="163" t="s">
        <v>233</v>
      </c>
      <c r="E16" s="164" t="s">
        <v>208</v>
      </c>
      <c r="F16" s="317">
        <v>0.89796425024826221</v>
      </c>
    </row>
    <row r="17" spans="2:6" s="161" customFormat="1" x14ac:dyDescent="0.25">
      <c r="B17" s="162">
        <v>11</v>
      </c>
      <c r="C17" s="161" t="s">
        <v>371</v>
      </c>
      <c r="D17" s="163" t="s">
        <v>199</v>
      </c>
      <c r="E17" s="164" t="s">
        <v>209</v>
      </c>
      <c r="F17" s="317">
        <v>0.60541110175358148</v>
      </c>
    </row>
    <row r="18" spans="2:6" s="161" customFormat="1" x14ac:dyDescent="0.25">
      <c r="B18" s="162">
        <v>12</v>
      </c>
      <c r="C18" s="161" t="s">
        <v>266</v>
      </c>
      <c r="D18" s="163" t="s">
        <v>267</v>
      </c>
      <c r="E18" s="164" t="s">
        <v>208</v>
      </c>
      <c r="F18" s="317">
        <v>0.82212054050189465</v>
      </c>
    </row>
    <row r="19" spans="2:6" s="161" customFormat="1" x14ac:dyDescent="0.25">
      <c r="B19" s="162">
        <v>13</v>
      </c>
      <c r="C19" s="161" t="s">
        <v>268</v>
      </c>
      <c r="D19" s="163" t="s">
        <v>269</v>
      </c>
      <c r="E19" s="164" t="s">
        <v>208</v>
      </c>
      <c r="F19" s="317">
        <v>0.88358780206943976</v>
      </c>
    </row>
    <row r="20" spans="2:6" s="161" customFormat="1" x14ac:dyDescent="0.25">
      <c r="B20" s="162">
        <v>14</v>
      </c>
      <c r="C20" s="161" t="s">
        <v>270</v>
      </c>
      <c r="D20" s="163" t="s">
        <v>271</v>
      </c>
      <c r="E20" s="164" t="s">
        <v>208</v>
      </c>
      <c r="F20" s="317">
        <v>1</v>
      </c>
    </row>
    <row r="21" spans="2:6" s="161" customFormat="1" x14ac:dyDescent="0.25">
      <c r="B21" s="162">
        <v>15</v>
      </c>
      <c r="C21" s="161" t="s">
        <v>338</v>
      </c>
      <c r="D21" s="163" t="s">
        <v>341</v>
      </c>
      <c r="E21" s="164" t="s">
        <v>208</v>
      </c>
      <c r="F21" s="317">
        <v>1</v>
      </c>
    </row>
    <row r="22" spans="2:6" s="161" customFormat="1" x14ac:dyDescent="0.25">
      <c r="B22" s="162">
        <v>16</v>
      </c>
      <c r="C22" s="161" t="s">
        <v>377</v>
      </c>
      <c r="D22" s="163" t="s">
        <v>378</v>
      </c>
      <c r="E22" s="164" t="s">
        <v>208</v>
      </c>
      <c r="F22" s="317">
        <v>1.0050785355208813</v>
      </c>
    </row>
    <row r="23" spans="2:6" s="161" customFormat="1" x14ac:dyDescent="0.25">
      <c r="B23" s="162">
        <v>17</v>
      </c>
      <c r="C23" s="161" t="s">
        <v>272</v>
      </c>
      <c r="D23" s="163" t="s">
        <v>273</v>
      </c>
      <c r="E23" s="164" t="s">
        <v>208</v>
      </c>
      <c r="F23" s="317">
        <v>0.82306200926438611</v>
      </c>
    </row>
    <row r="24" spans="2:6" s="161" customFormat="1" x14ac:dyDescent="0.25">
      <c r="B24" s="162">
        <v>18</v>
      </c>
      <c r="C24" s="161" t="s">
        <v>274</v>
      </c>
      <c r="D24" s="163" t="s">
        <v>275</v>
      </c>
      <c r="E24" s="164" t="s">
        <v>209</v>
      </c>
      <c r="F24" s="317">
        <v>0.50006911327666048</v>
      </c>
    </row>
    <row r="25" spans="2:6" s="161" customFormat="1" x14ac:dyDescent="0.25">
      <c r="B25" s="162">
        <v>19</v>
      </c>
      <c r="C25" s="161" t="s">
        <v>280</v>
      </c>
      <c r="D25" s="163" t="s">
        <v>281</v>
      </c>
      <c r="E25" s="164" t="s">
        <v>209</v>
      </c>
      <c r="F25" s="317">
        <v>0.66296054901660084</v>
      </c>
    </row>
    <row r="26" spans="2:6" s="161" customFormat="1" x14ac:dyDescent="0.25">
      <c r="B26" s="162">
        <v>20</v>
      </c>
      <c r="C26" s="161" t="s">
        <v>362</v>
      </c>
      <c r="D26" s="163" t="s">
        <v>363</v>
      </c>
      <c r="E26" s="164" t="s">
        <v>208</v>
      </c>
      <c r="F26" s="317">
        <v>1.0258121175673225</v>
      </c>
    </row>
    <row r="27" spans="2:6" s="161" customFormat="1" x14ac:dyDescent="0.25">
      <c r="B27" s="162">
        <v>21</v>
      </c>
      <c r="C27" s="161" t="s">
        <v>284</v>
      </c>
      <c r="D27" s="163" t="s">
        <v>285</v>
      </c>
      <c r="E27" s="164" t="s">
        <v>199</v>
      </c>
      <c r="F27" s="317">
        <v>0.49985483935719455</v>
      </c>
    </row>
    <row r="28" spans="2:6" s="161" customFormat="1" x14ac:dyDescent="0.25">
      <c r="B28" s="162">
        <v>22</v>
      </c>
      <c r="C28" s="161" t="s">
        <v>288</v>
      </c>
      <c r="D28" s="163" t="s">
        <v>289</v>
      </c>
      <c r="E28" s="164" t="s">
        <v>208</v>
      </c>
      <c r="F28" s="317">
        <v>0.98311466116060708</v>
      </c>
    </row>
    <row r="29" spans="2:6" s="161" customFormat="1" x14ac:dyDescent="0.25">
      <c r="B29" s="162">
        <v>23</v>
      </c>
      <c r="C29" s="161" t="s">
        <v>405</v>
      </c>
      <c r="D29" s="163" t="s">
        <v>406</v>
      </c>
      <c r="E29" s="164" t="s">
        <v>208</v>
      </c>
      <c r="F29" s="317">
        <v>0.91615848253855703</v>
      </c>
    </row>
    <row r="30" spans="2:6" s="161" customFormat="1" x14ac:dyDescent="0.25">
      <c r="B30" s="162">
        <v>24</v>
      </c>
      <c r="C30" s="161" t="s">
        <v>276</v>
      </c>
      <c r="D30" s="163" t="s">
        <v>277</v>
      </c>
      <c r="E30" s="164" t="s">
        <v>199</v>
      </c>
      <c r="F30" s="317">
        <v>0.3793248841417991</v>
      </c>
    </row>
    <row r="31" spans="2:6" s="161" customFormat="1" x14ac:dyDescent="0.25">
      <c r="B31" s="162">
        <v>25</v>
      </c>
      <c r="C31" s="161" t="s">
        <v>313</v>
      </c>
      <c r="D31" s="163" t="s">
        <v>471</v>
      </c>
      <c r="E31" s="164" t="s">
        <v>209</v>
      </c>
      <c r="F31" s="317">
        <v>0.78015169061523282</v>
      </c>
    </row>
    <row r="32" spans="2:6" s="161" customFormat="1" x14ac:dyDescent="0.25">
      <c r="B32" s="162">
        <v>26</v>
      </c>
      <c r="C32" s="161" t="s">
        <v>245</v>
      </c>
      <c r="D32" s="163" t="s">
        <v>246</v>
      </c>
      <c r="E32" s="164" t="s">
        <v>209</v>
      </c>
      <c r="F32" s="317">
        <v>0.52458994514807356</v>
      </c>
    </row>
    <row r="33" spans="2:6" s="161" customFormat="1" x14ac:dyDescent="0.25">
      <c r="B33" s="162">
        <v>27</v>
      </c>
      <c r="C33" s="161" t="s">
        <v>278</v>
      </c>
      <c r="D33" s="163" t="s">
        <v>279</v>
      </c>
      <c r="E33" s="164" t="s">
        <v>209</v>
      </c>
      <c r="F33" s="317">
        <v>0.58274049617353607</v>
      </c>
    </row>
    <row r="34" spans="2:6" s="161" customFormat="1" x14ac:dyDescent="0.25">
      <c r="B34" s="162">
        <v>28</v>
      </c>
      <c r="C34" s="161" t="s">
        <v>240</v>
      </c>
      <c r="D34" s="163" t="s">
        <v>241</v>
      </c>
      <c r="E34" s="164" t="s">
        <v>208</v>
      </c>
      <c r="F34" s="317">
        <v>0.9476761367452482</v>
      </c>
    </row>
    <row r="35" spans="2:6" s="161" customFormat="1" x14ac:dyDescent="0.25">
      <c r="B35" s="162">
        <v>29</v>
      </c>
      <c r="C35" s="161" t="s">
        <v>302</v>
      </c>
      <c r="D35" s="163" t="s">
        <v>303</v>
      </c>
      <c r="E35" s="164" t="s">
        <v>208</v>
      </c>
      <c r="F35" s="317">
        <v>0.99831481784170029</v>
      </c>
    </row>
    <row r="36" spans="2:6" s="161" customFormat="1" x14ac:dyDescent="0.25">
      <c r="B36" s="162">
        <v>30</v>
      </c>
      <c r="C36" s="161" t="s">
        <v>282</v>
      </c>
      <c r="D36" s="163" t="s">
        <v>283</v>
      </c>
      <c r="E36" s="164" t="s">
        <v>208</v>
      </c>
      <c r="F36" s="317">
        <v>0.8675874808455255</v>
      </c>
    </row>
    <row r="37" spans="2:6" s="161" customFormat="1" x14ac:dyDescent="0.25">
      <c r="B37" s="162">
        <v>31</v>
      </c>
      <c r="C37" s="161" t="s">
        <v>304</v>
      </c>
      <c r="D37" s="163" t="s">
        <v>305</v>
      </c>
      <c r="E37" s="164" t="s">
        <v>208</v>
      </c>
      <c r="F37" s="317">
        <v>0.82212039553860683</v>
      </c>
    </row>
    <row r="38" spans="2:6" s="161" customFormat="1" x14ac:dyDescent="0.25">
      <c r="B38" s="162">
        <v>32</v>
      </c>
      <c r="C38" s="161" t="s">
        <v>392</v>
      </c>
      <c r="D38" s="163" t="s">
        <v>393</v>
      </c>
      <c r="E38" s="164" t="s">
        <v>208</v>
      </c>
      <c r="F38" s="317">
        <v>0.87566221995276694</v>
      </c>
    </row>
    <row r="39" spans="2:6" s="161" customFormat="1" x14ac:dyDescent="0.25">
      <c r="B39" s="162">
        <v>33</v>
      </c>
      <c r="C39" s="161" t="s">
        <v>306</v>
      </c>
      <c r="D39" s="163" t="s">
        <v>307</v>
      </c>
      <c r="E39" s="164" t="s">
        <v>208</v>
      </c>
      <c r="F39" s="317">
        <v>1</v>
      </c>
    </row>
    <row r="40" spans="2:6" s="161" customFormat="1" x14ac:dyDescent="0.25">
      <c r="B40" s="162">
        <v>34</v>
      </c>
      <c r="C40" s="161" t="s">
        <v>286</v>
      </c>
      <c r="D40" s="163" t="s">
        <v>287</v>
      </c>
      <c r="E40" s="164" t="s">
        <v>208</v>
      </c>
      <c r="F40" s="317">
        <v>1</v>
      </c>
    </row>
    <row r="41" spans="2:6" s="161" customFormat="1" x14ac:dyDescent="0.25">
      <c r="B41" s="162">
        <v>35</v>
      </c>
      <c r="C41" s="161" t="s">
        <v>308</v>
      </c>
      <c r="D41" s="163" t="s">
        <v>309</v>
      </c>
      <c r="E41" s="164" t="s">
        <v>208</v>
      </c>
      <c r="F41" s="317">
        <v>0.9801980503746146</v>
      </c>
    </row>
    <row r="42" spans="2:6" s="161" customFormat="1" x14ac:dyDescent="0.25">
      <c r="B42" s="162">
        <v>36</v>
      </c>
      <c r="C42" s="161" t="s">
        <v>290</v>
      </c>
      <c r="D42" s="163" t="s">
        <v>291</v>
      </c>
      <c r="E42" s="164" t="s">
        <v>208</v>
      </c>
      <c r="F42" s="317">
        <v>1</v>
      </c>
    </row>
    <row r="43" spans="2:6" s="161" customFormat="1" x14ac:dyDescent="0.25">
      <c r="B43" s="162">
        <v>37</v>
      </c>
      <c r="C43" s="161" t="s">
        <v>248</v>
      </c>
      <c r="D43" s="163" t="s">
        <v>249</v>
      </c>
      <c r="E43" s="164" t="s">
        <v>209</v>
      </c>
      <c r="F43" s="317">
        <v>0.74817741739001753</v>
      </c>
    </row>
    <row r="44" spans="2:6" s="161" customFormat="1" x14ac:dyDescent="0.25">
      <c r="B44" s="162">
        <v>38</v>
      </c>
      <c r="C44" s="161" t="s">
        <v>294</v>
      </c>
      <c r="D44" s="163" t="s">
        <v>295</v>
      </c>
      <c r="E44" s="164" t="s">
        <v>209</v>
      </c>
      <c r="F44" s="317">
        <v>0.62895876376192228</v>
      </c>
    </row>
    <row r="45" spans="2:6" s="161" customFormat="1" x14ac:dyDescent="0.25">
      <c r="B45" s="162">
        <v>39</v>
      </c>
      <c r="C45" s="161" t="s">
        <v>357</v>
      </c>
      <c r="D45" s="163" t="s">
        <v>358</v>
      </c>
      <c r="E45" s="164" t="s">
        <v>209</v>
      </c>
      <c r="F45" s="317">
        <v>0.75178020413007363</v>
      </c>
    </row>
    <row r="46" spans="2:6" s="161" customFormat="1" x14ac:dyDescent="0.25">
      <c r="B46" s="162">
        <v>40</v>
      </c>
      <c r="C46" s="161" t="s">
        <v>296</v>
      </c>
      <c r="D46" s="163" t="s">
        <v>297</v>
      </c>
      <c r="E46" s="164" t="s">
        <v>209</v>
      </c>
      <c r="F46" s="317">
        <v>0.75848182824927013</v>
      </c>
    </row>
    <row r="47" spans="2:6" s="161" customFormat="1" x14ac:dyDescent="0.25">
      <c r="B47" s="162">
        <v>41</v>
      </c>
      <c r="C47" s="161" t="s">
        <v>298</v>
      </c>
      <c r="D47" s="163" t="s">
        <v>299</v>
      </c>
      <c r="E47" s="164" t="s">
        <v>208</v>
      </c>
      <c r="F47" s="317">
        <v>0.911467366016666</v>
      </c>
    </row>
    <row r="48" spans="2:6" s="161" customFormat="1" x14ac:dyDescent="0.25">
      <c r="B48" s="162">
        <v>42</v>
      </c>
      <c r="C48" s="161" t="s">
        <v>379</v>
      </c>
      <c r="D48" s="163" t="s">
        <v>385</v>
      </c>
      <c r="E48" s="164" t="s">
        <v>208</v>
      </c>
      <c r="F48" s="317">
        <v>1.0182439091471658</v>
      </c>
    </row>
    <row r="49" spans="2:6" s="161" customFormat="1" x14ac:dyDescent="0.25">
      <c r="B49" s="162">
        <v>43</v>
      </c>
      <c r="C49" s="161" t="s">
        <v>399</v>
      </c>
      <c r="D49" s="163" t="s">
        <v>400</v>
      </c>
      <c r="E49" s="164" t="s">
        <v>208</v>
      </c>
      <c r="F49" s="317">
        <v>0.97107572768433081</v>
      </c>
    </row>
    <row r="50" spans="2:6" s="161" customFormat="1" x14ac:dyDescent="0.25">
      <c r="B50" s="162">
        <v>44</v>
      </c>
      <c r="C50" s="161" t="s">
        <v>300</v>
      </c>
      <c r="D50" s="163" t="s">
        <v>301</v>
      </c>
      <c r="E50" s="164" t="s">
        <v>208</v>
      </c>
      <c r="F50" s="317">
        <v>0.98020395920815839</v>
      </c>
    </row>
    <row r="51" spans="2:6" s="161" customFormat="1" x14ac:dyDescent="0.25">
      <c r="B51" s="162">
        <v>45</v>
      </c>
      <c r="C51" s="161" t="s">
        <v>355</v>
      </c>
      <c r="D51" s="163" t="s">
        <v>356</v>
      </c>
      <c r="E51" s="164" t="s">
        <v>209</v>
      </c>
      <c r="F51" s="317">
        <v>0.82606590085814458</v>
      </c>
    </row>
    <row r="52" spans="2:6" s="161" customFormat="1" x14ac:dyDescent="0.25">
      <c r="B52" s="162">
        <v>46</v>
      </c>
      <c r="C52" s="161" t="s">
        <v>364</v>
      </c>
      <c r="D52" s="163" t="s">
        <v>365</v>
      </c>
      <c r="E52" s="164" t="s">
        <v>208</v>
      </c>
      <c r="F52" s="317">
        <v>1</v>
      </c>
    </row>
    <row r="53" spans="2:6" s="161" customFormat="1" x14ac:dyDescent="0.25">
      <c r="B53" s="162">
        <v>47</v>
      </c>
      <c r="C53" s="161" t="s">
        <v>252</v>
      </c>
      <c r="D53" s="163" t="s">
        <v>253</v>
      </c>
      <c r="E53" s="164" t="s">
        <v>208</v>
      </c>
      <c r="F53" s="317">
        <v>0.98347336349367565</v>
      </c>
    </row>
    <row r="54" spans="2:6" s="161" customFormat="1" x14ac:dyDescent="0.25">
      <c r="B54" s="162">
        <v>48</v>
      </c>
      <c r="C54" s="161" t="s">
        <v>256</v>
      </c>
      <c r="D54" s="163" t="s">
        <v>257</v>
      </c>
      <c r="E54" s="164" t="s">
        <v>208</v>
      </c>
      <c r="F54" s="317">
        <v>0.99337195892319707</v>
      </c>
    </row>
    <row r="55" spans="2:6" s="161" customFormat="1" x14ac:dyDescent="0.25">
      <c r="B55" s="162"/>
      <c r="D55" s="163"/>
      <c r="E55" s="164"/>
      <c r="F55" s="317"/>
    </row>
    <row r="56" spans="2:6" s="161" customFormat="1" x14ac:dyDescent="0.25">
      <c r="B56" s="162">
        <v>1</v>
      </c>
      <c r="C56" s="320" t="s">
        <v>391</v>
      </c>
      <c r="D56" s="321" t="s">
        <v>239</v>
      </c>
      <c r="E56" s="164" t="s">
        <v>208</v>
      </c>
      <c r="F56" s="317">
        <v>1</v>
      </c>
    </row>
    <row r="57" spans="2:6" s="161" customFormat="1" x14ac:dyDescent="0.25">
      <c r="B57" s="162">
        <v>2</v>
      </c>
      <c r="C57" s="161" t="s">
        <v>607</v>
      </c>
      <c r="D57" s="163" t="s">
        <v>265</v>
      </c>
      <c r="E57" s="164" t="s">
        <v>208</v>
      </c>
      <c r="F57" s="317">
        <v>1</v>
      </c>
    </row>
    <row r="58" spans="2:6" s="161" customFormat="1" x14ac:dyDescent="0.25">
      <c r="B58" s="162">
        <v>3</v>
      </c>
      <c r="C58" s="161" t="s">
        <v>611</v>
      </c>
      <c r="D58" s="163" t="s">
        <v>369</v>
      </c>
      <c r="E58" s="164" t="s">
        <v>199</v>
      </c>
      <c r="F58" s="317">
        <v>0.20685175054704596</v>
      </c>
    </row>
    <row r="59" spans="2:6" s="161" customFormat="1" x14ac:dyDescent="0.25">
      <c r="B59" s="162">
        <v>4</v>
      </c>
      <c r="C59" s="161" t="s">
        <v>608</v>
      </c>
      <c r="D59" s="163" t="s">
        <v>293</v>
      </c>
      <c r="E59" s="164" t="s">
        <v>208</v>
      </c>
      <c r="F59" s="317">
        <v>1</v>
      </c>
    </row>
    <row r="60" spans="2:6" s="161" customFormat="1" x14ac:dyDescent="0.25">
      <c r="B60" s="162">
        <v>5</v>
      </c>
      <c r="C60" s="161" t="s">
        <v>609</v>
      </c>
      <c r="D60" s="163" t="s">
        <v>221</v>
      </c>
      <c r="E60" s="164" t="s">
        <v>209</v>
      </c>
      <c r="F60" s="317">
        <v>0.78488758123806135</v>
      </c>
    </row>
    <row r="61" spans="2:6" s="161" customFormat="1" x14ac:dyDescent="0.25">
      <c r="B61" s="162">
        <v>6</v>
      </c>
      <c r="C61" s="161" t="s">
        <v>610</v>
      </c>
      <c r="D61" s="163" t="s">
        <v>311</v>
      </c>
      <c r="E61" s="164" t="s">
        <v>208</v>
      </c>
      <c r="F61" s="317">
        <v>0.95403000000000004</v>
      </c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>
        <v>1</v>
      </c>
      <c r="C63" s="161" t="s">
        <v>428</v>
      </c>
      <c r="D63" s="163" t="s">
        <v>463</v>
      </c>
      <c r="E63" s="164"/>
    </row>
    <row r="64" spans="2:6" s="161" customFormat="1" x14ac:dyDescent="0.25">
      <c r="B64" s="162">
        <v>2</v>
      </c>
      <c r="C64" s="161" t="s">
        <v>421</v>
      </c>
      <c r="D64" s="163" t="s">
        <v>422</v>
      </c>
      <c r="E64" s="164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602</v>
      </c>
      <c r="C1" s="154"/>
    </row>
    <row r="3" spans="1:6" x14ac:dyDescent="0.25">
      <c r="E3" s="165">
        <v>41639</v>
      </c>
    </row>
    <row r="5" spans="1:6" s="156" customFormat="1" ht="27.6" x14ac:dyDescent="0.25">
      <c r="C5" s="157" t="s">
        <v>217</v>
      </c>
      <c r="D5" s="158" t="s">
        <v>603</v>
      </c>
      <c r="E5" s="159" t="s">
        <v>604</v>
      </c>
    </row>
    <row r="6" spans="1:6" x14ac:dyDescent="0.25">
      <c r="E6" s="160"/>
    </row>
    <row r="7" spans="1:6" s="161" customFormat="1" x14ac:dyDescent="0.25">
      <c r="B7" s="162">
        <f t="shared" ref="B7:B62" ca="1" si="0">OFFSET( B7, -1, 0 ) + 1</f>
        <v>1</v>
      </c>
      <c r="C7" s="161" t="s">
        <v>222</v>
      </c>
      <c r="D7" s="163" t="s">
        <v>223</v>
      </c>
      <c r="E7" s="164" t="s">
        <v>208</v>
      </c>
      <c r="F7" s="317">
        <v>0.90911182696732629</v>
      </c>
    </row>
    <row r="8" spans="1:6" s="161" customFormat="1" x14ac:dyDescent="0.25">
      <c r="B8" s="162">
        <f t="shared" ca="1" si="0"/>
        <v>2</v>
      </c>
      <c r="C8" s="161" t="s">
        <v>224</v>
      </c>
      <c r="D8" s="163" t="s">
        <v>225</v>
      </c>
      <c r="E8" s="164" t="s">
        <v>208</v>
      </c>
      <c r="F8" s="317">
        <v>0.88890788668514453</v>
      </c>
    </row>
    <row r="9" spans="1:6" s="161" customFormat="1" x14ac:dyDescent="0.25">
      <c r="B9" s="162">
        <f t="shared" ca="1" si="0"/>
        <v>3</v>
      </c>
      <c r="C9" s="161" t="s">
        <v>230</v>
      </c>
      <c r="D9" s="163" t="s">
        <v>231</v>
      </c>
      <c r="E9" s="164" t="s">
        <v>208</v>
      </c>
      <c r="F9" s="317">
        <v>0.97514010633711745</v>
      </c>
    </row>
    <row r="10" spans="1:6" s="161" customFormat="1" x14ac:dyDescent="0.25">
      <c r="B10" s="162">
        <f t="shared" ca="1" si="0"/>
        <v>4</v>
      </c>
      <c r="C10" s="161" t="s">
        <v>227</v>
      </c>
      <c r="D10" s="163" t="s">
        <v>228</v>
      </c>
      <c r="E10" s="164" t="s">
        <v>208</v>
      </c>
      <c r="F10" s="317">
        <v>0.8323465806360123</v>
      </c>
    </row>
    <row r="11" spans="1:6" s="161" customFormat="1" x14ac:dyDescent="0.25">
      <c r="B11" s="162">
        <f t="shared" ca="1" si="0"/>
        <v>5</v>
      </c>
      <c r="C11" s="161" t="s">
        <v>243</v>
      </c>
      <c r="D11" s="163" t="s">
        <v>244</v>
      </c>
      <c r="E11" s="164" t="s">
        <v>208</v>
      </c>
      <c r="F11" s="317">
        <v>0.9035001305616811</v>
      </c>
    </row>
    <row r="12" spans="1:6" s="161" customFormat="1" x14ac:dyDescent="0.25">
      <c r="B12" s="162">
        <f t="shared" ca="1" si="0"/>
        <v>6</v>
      </c>
      <c r="C12" s="161" t="s">
        <v>250</v>
      </c>
      <c r="D12" s="163" t="s">
        <v>251</v>
      </c>
      <c r="E12" s="164" t="s">
        <v>208</v>
      </c>
      <c r="F12" s="317">
        <v>0.85971896000648229</v>
      </c>
    </row>
    <row r="13" spans="1:6" s="161" customFormat="1" x14ac:dyDescent="0.25">
      <c r="B13" s="162">
        <f t="shared" ca="1" si="0"/>
        <v>7</v>
      </c>
      <c r="C13" s="161" t="s">
        <v>254</v>
      </c>
      <c r="D13" s="163" t="s">
        <v>255</v>
      </c>
      <c r="E13" s="164" t="s">
        <v>209</v>
      </c>
      <c r="F13" s="317">
        <v>0.66671239140374938</v>
      </c>
    </row>
    <row r="14" spans="1:6" s="161" customFormat="1" x14ac:dyDescent="0.25">
      <c r="B14" s="162">
        <f t="shared" ca="1" si="0"/>
        <v>8</v>
      </c>
      <c r="C14" s="161" t="s">
        <v>259</v>
      </c>
      <c r="D14" s="163" t="s">
        <v>388</v>
      </c>
      <c r="E14" s="164" t="s">
        <v>208</v>
      </c>
      <c r="F14" s="317">
        <v>0.93557933053746112</v>
      </c>
    </row>
    <row r="15" spans="1:6" s="161" customFormat="1" x14ac:dyDescent="0.25">
      <c r="B15" s="162">
        <f t="shared" ca="1" si="0"/>
        <v>9</v>
      </c>
      <c r="C15" s="161" t="s">
        <v>261</v>
      </c>
      <c r="D15" s="163" t="s">
        <v>262</v>
      </c>
      <c r="E15" s="164" t="s">
        <v>208</v>
      </c>
      <c r="F15" s="317">
        <v>0.87683739090491497</v>
      </c>
    </row>
    <row r="16" spans="1:6" s="161" customFormat="1" x14ac:dyDescent="0.25">
      <c r="B16" s="162">
        <f t="shared" ca="1" si="0"/>
        <v>10</v>
      </c>
      <c r="C16" s="161" t="s">
        <v>232</v>
      </c>
      <c r="D16" s="163" t="s">
        <v>233</v>
      </c>
      <c r="E16" s="164" t="s">
        <v>208</v>
      </c>
      <c r="F16" s="317">
        <v>0.89118508130981378</v>
      </c>
    </row>
    <row r="17" spans="2:6" s="161" customFormat="1" x14ac:dyDescent="0.25">
      <c r="B17" s="162">
        <f t="shared" ca="1" si="0"/>
        <v>11</v>
      </c>
      <c r="C17" s="161" t="s">
        <v>371</v>
      </c>
      <c r="D17" s="163" t="s">
        <v>199</v>
      </c>
      <c r="E17" s="164" t="s">
        <v>209</v>
      </c>
      <c r="F17" s="317">
        <v>0.6031767271522398</v>
      </c>
    </row>
    <row r="18" spans="2:6" s="161" customFormat="1" x14ac:dyDescent="0.25">
      <c r="B18" s="162">
        <f t="shared" ca="1" si="0"/>
        <v>12</v>
      </c>
      <c r="C18" s="161" t="s">
        <v>266</v>
      </c>
      <c r="D18" s="163" t="s">
        <v>267</v>
      </c>
      <c r="E18" s="164" t="s">
        <v>208</v>
      </c>
      <c r="F18" s="317">
        <v>0.82691343743975321</v>
      </c>
    </row>
    <row r="19" spans="2:6" s="161" customFormat="1" x14ac:dyDescent="0.25">
      <c r="B19" s="162">
        <f t="shared" ca="1" si="0"/>
        <v>13</v>
      </c>
      <c r="C19" s="161" t="s">
        <v>268</v>
      </c>
      <c r="D19" s="163" t="s">
        <v>269</v>
      </c>
      <c r="E19" s="164" t="s">
        <v>208</v>
      </c>
      <c r="F19" s="317">
        <v>0.87022887461992182</v>
      </c>
    </row>
    <row r="20" spans="2:6" s="161" customFormat="1" x14ac:dyDescent="0.25">
      <c r="B20" s="162">
        <f t="shared" ca="1" si="0"/>
        <v>14</v>
      </c>
      <c r="C20" s="161" t="s">
        <v>270</v>
      </c>
      <c r="D20" s="163" t="s">
        <v>271</v>
      </c>
      <c r="E20" s="164" t="s">
        <v>208</v>
      </c>
      <c r="F20" s="317">
        <v>1</v>
      </c>
    </row>
    <row r="21" spans="2:6" s="161" customFormat="1" x14ac:dyDescent="0.25">
      <c r="B21" s="162">
        <f t="shared" ca="1" si="0"/>
        <v>15</v>
      </c>
      <c r="C21" s="161" t="s">
        <v>338</v>
      </c>
      <c r="D21" s="163" t="s">
        <v>341</v>
      </c>
      <c r="E21" s="164" t="s">
        <v>208</v>
      </c>
      <c r="F21" s="317">
        <v>1</v>
      </c>
    </row>
    <row r="22" spans="2:6" s="161" customFormat="1" x14ac:dyDescent="0.25">
      <c r="B22" s="162">
        <f t="shared" ca="1" si="0"/>
        <v>16</v>
      </c>
      <c r="C22" s="161" t="s">
        <v>377</v>
      </c>
      <c r="D22" s="163" t="s">
        <v>378</v>
      </c>
      <c r="E22" s="164" t="s">
        <v>208</v>
      </c>
      <c r="F22" s="317">
        <v>1.0060255146162436</v>
      </c>
    </row>
    <row r="23" spans="2:6" s="161" customFormat="1" x14ac:dyDescent="0.25">
      <c r="B23" s="162">
        <f t="shared" ca="1" si="0"/>
        <v>17</v>
      </c>
      <c r="C23" s="161" t="s">
        <v>272</v>
      </c>
      <c r="D23" s="163" t="s">
        <v>273</v>
      </c>
      <c r="E23" s="164" t="s">
        <v>208</v>
      </c>
      <c r="F23" s="317">
        <v>0.81876283997081911</v>
      </c>
    </row>
    <row r="24" spans="2:6" s="161" customFormat="1" x14ac:dyDescent="0.25">
      <c r="B24" s="162">
        <f t="shared" ca="1" si="0"/>
        <v>18</v>
      </c>
      <c r="C24" s="161" t="s">
        <v>274</v>
      </c>
      <c r="D24" s="163" t="s">
        <v>275</v>
      </c>
      <c r="E24" s="164" t="s">
        <v>209</v>
      </c>
      <c r="F24" s="317">
        <v>0.52044442220109099</v>
      </c>
    </row>
    <row r="25" spans="2:6" s="161" customFormat="1" x14ac:dyDescent="0.25">
      <c r="B25" s="162">
        <f t="shared" ca="1" si="0"/>
        <v>19</v>
      </c>
      <c r="C25" s="161" t="s">
        <v>280</v>
      </c>
      <c r="D25" s="163" t="s">
        <v>281</v>
      </c>
      <c r="E25" s="164" t="s">
        <v>209</v>
      </c>
      <c r="F25" s="317">
        <v>0.65306203395208628</v>
      </c>
    </row>
    <row r="26" spans="2:6" s="161" customFormat="1" x14ac:dyDescent="0.25">
      <c r="B26" s="162">
        <f t="shared" ca="1" si="0"/>
        <v>20</v>
      </c>
      <c r="C26" s="161" t="s">
        <v>362</v>
      </c>
      <c r="D26" s="163" t="s">
        <v>363</v>
      </c>
      <c r="E26" s="164" t="s">
        <v>208</v>
      </c>
      <c r="F26" s="317">
        <v>1.0228882945055842</v>
      </c>
    </row>
    <row r="27" spans="2:6" s="161" customFormat="1" x14ac:dyDescent="0.25">
      <c r="B27" s="162">
        <f t="shared" ca="1" si="0"/>
        <v>21</v>
      </c>
      <c r="C27" s="161" t="s">
        <v>284</v>
      </c>
      <c r="D27" s="163" t="s">
        <v>285</v>
      </c>
      <c r="E27" s="164" t="s">
        <v>199</v>
      </c>
      <c r="F27" s="317">
        <v>0.49198330297240517</v>
      </c>
    </row>
    <row r="28" spans="2:6" s="161" customFormat="1" x14ac:dyDescent="0.25">
      <c r="B28" s="162">
        <f t="shared" ca="1" si="0"/>
        <v>22</v>
      </c>
      <c r="C28" s="161" t="s">
        <v>288</v>
      </c>
      <c r="D28" s="163" t="s">
        <v>289</v>
      </c>
      <c r="E28" s="164" t="s">
        <v>208</v>
      </c>
      <c r="F28" s="317">
        <v>0.98170363550581841</v>
      </c>
    </row>
    <row r="29" spans="2:6" s="161" customFormat="1" x14ac:dyDescent="0.25">
      <c r="B29" s="162">
        <f t="shared" ca="1" si="0"/>
        <v>23</v>
      </c>
      <c r="C29" s="161" t="s">
        <v>405</v>
      </c>
      <c r="D29" s="163" t="s">
        <v>406</v>
      </c>
      <c r="E29" s="164" t="s">
        <v>208</v>
      </c>
      <c r="F29" s="317">
        <v>0.86226708765064253</v>
      </c>
    </row>
    <row r="30" spans="2:6" s="161" customFormat="1" x14ac:dyDescent="0.25">
      <c r="B30" s="162">
        <f t="shared" ca="1" si="0"/>
        <v>24</v>
      </c>
      <c r="C30" s="161" t="s">
        <v>276</v>
      </c>
      <c r="D30" s="163" t="s">
        <v>277</v>
      </c>
      <c r="E30" s="164" t="s">
        <v>199</v>
      </c>
      <c r="F30" s="317">
        <v>0.37816533764451238</v>
      </c>
    </row>
    <row r="31" spans="2:6" s="161" customFormat="1" x14ac:dyDescent="0.25">
      <c r="B31" s="162">
        <f t="shared" ca="1" si="0"/>
        <v>25</v>
      </c>
      <c r="C31" s="161" t="s">
        <v>313</v>
      </c>
      <c r="D31" s="163" t="s">
        <v>471</v>
      </c>
      <c r="E31" s="164" t="s">
        <v>209</v>
      </c>
      <c r="F31" s="317">
        <v>0.77859929325041477</v>
      </c>
    </row>
    <row r="32" spans="2:6" s="161" customFormat="1" x14ac:dyDescent="0.25">
      <c r="B32" s="162">
        <f t="shared" ca="1" si="0"/>
        <v>26</v>
      </c>
      <c r="C32" s="161" t="s">
        <v>245</v>
      </c>
      <c r="D32" s="163" t="s">
        <v>246</v>
      </c>
      <c r="E32" s="164" t="s">
        <v>209</v>
      </c>
      <c r="F32" s="317">
        <v>0.52647678411681531</v>
      </c>
    </row>
    <row r="33" spans="2:6" s="161" customFormat="1" x14ac:dyDescent="0.25">
      <c r="B33" s="162">
        <f t="shared" ca="1" si="0"/>
        <v>27</v>
      </c>
      <c r="C33" s="161" t="s">
        <v>278</v>
      </c>
      <c r="D33" s="163" t="s">
        <v>279</v>
      </c>
      <c r="E33" s="164" t="s">
        <v>209</v>
      </c>
      <c r="F33" s="317">
        <v>0.57990014964310777</v>
      </c>
    </row>
    <row r="34" spans="2:6" s="161" customFormat="1" x14ac:dyDescent="0.25">
      <c r="B34" s="162">
        <f t="shared" ca="1" si="0"/>
        <v>28</v>
      </c>
      <c r="C34" s="161" t="s">
        <v>404</v>
      </c>
      <c r="D34" s="163" t="s">
        <v>241</v>
      </c>
      <c r="E34" s="164" t="s">
        <v>208</v>
      </c>
      <c r="F34" s="317">
        <v>0.96294364195643178</v>
      </c>
    </row>
    <row r="35" spans="2:6" s="161" customFormat="1" x14ac:dyDescent="0.25">
      <c r="B35" s="162">
        <f t="shared" ca="1" si="0"/>
        <v>29</v>
      </c>
      <c r="C35" s="161" t="s">
        <v>302</v>
      </c>
      <c r="D35" s="163" t="s">
        <v>303</v>
      </c>
      <c r="E35" s="164" t="s">
        <v>208</v>
      </c>
      <c r="F35" s="317">
        <v>0.99627347749551853</v>
      </c>
    </row>
    <row r="36" spans="2:6" s="161" customFormat="1" x14ac:dyDescent="0.25">
      <c r="B36" s="162">
        <f t="shared" ca="1" si="0"/>
        <v>30</v>
      </c>
      <c r="C36" s="161" t="s">
        <v>282</v>
      </c>
      <c r="D36" s="163" t="s">
        <v>283</v>
      </c>
      <c r="E36" s="164" t="s">
        <v>208</v>
      </c>
      <c r="F36" s="317">
        <v>0.84238124952105697</v>
      </c>
    </row>
    <row r="37" spans="2:6" s="161" customFormat="1" x14ac:dyDescent="0.25">
      <c r="B37" s="162">
        <f t="shared" ca="1" si="0"/>
        <v>31</v>
      </c>
      <c r="C37" s="161" t="s">
        <v>304</v>
      </c>
      <c r="D37" s="163" t="s">
        <v>305</v>
      </c>
      <c r="E37" s="164" t="s">
        <v>208</v>
      </c>
      <c r="F37" s="317">
        <v>0.80852170306243221</v>
      </c>
    </row>
    <row r="38" spans="2:6" s="161" customFormat="1" x14ac:dyDescent="0.25">
      <c r="B38" s="162">
        <f t="shared" ca="1" si="0"/>
        <v>32</v>
      </c>
      <c r="C38" s="161" t="s">
        <v>392</v>
      </c>
      <c r="D38" s="163" t="s">
        <v>393</v>
      </c>
      <c r="E38" s="164" t="s">
        <v>208</v>
      </c>
      <c r="F38" s="317">
        <v>0.87741631305987744</v>
      </c>
    </row>
    <row r="39" spans="2:6" s="161" customFormat="1" x14ac:dyDescent="0.25">
      <c r="B39" s="162">
        <f t="shared" ca="1" si="0"/>
        <v>33</v>
      </c>
      <c r="C39" s="161" t="s">
        <v>306</v>
      </c>
      <c r="D39" s="163" t="s">
        <v>307</v>
      </c>
      <c r="E39" s="164" t="s">
        <v>208</v>
      </c>
      <c r="F39" s="317">
        <v>1</v>
      </c>
    </row>
    <row r="40" spans="2:6" s="161" customFormat="1" x14ac:dyDescent="0.25">
      <c r="B40" s="162">
        <f t="shared" ca="1" si="0"/>
        <v>34</v>
      </c>
      <c r="C40" s="161" t="s">
        <v>286</v>
      </c>
      <c r="D40" s="163" t="s">
        <v>287</v>
      </c>
      <c r="E40" s="164" t="s">
        <v>208</v>
      </c>
      <c r="F40" s="317">
        <v>1</v>
      </c>
    </row>
    <row r="41" spans="2:6" s="161" customFormat="1" x14ac:dyDescent="0.25">
      <c r="B41" s="162">
        <f t="shared" ca="1" si="0"/>
        <v>35</v>
      </c>
      <c r="C41" s="161" t="s">
        <v>308</v>
      </c>
      <c r="D41" s="163" t="s">
        <v>309</v>
      </c>
      <c r="E41" s="164" t="s">
        <v>208</v>
      </c>
      <c r="F41" s="317">
        <v>0.97997112837509848</v>
      </c>
    </row>
    <row r="42" spans="2:6" s="161" customFormat="1" x14ac:dyDescent="0.25">
      <c r="B42" s="162">
        <f t="shared" ca="1" si="0"/>
        <v>36</v>
      </c>
      <c r="C42" s="161" t="s">
        <v>290</v>
      </c>
      <c r="D42" s="163" t="s">
        <v>291</v>
      </c>
      <c r="E42" s="164" t="s">
        <v>208</v>
      </c>
      <c r="F42" s="317">
        <v>1</v>
      </c>
    </row>
    <row r="43" spans="2:6" s="161" customFormat="1" x14ac:dyDescent="0.25">
      <c r="B43" s="162">
        <f t="shared" ca="1" si="0"/>
        <v>37</v>
      </c>
      <c r="C43" s="161" t="s">
        <v>248</v>
      </c>
      <c r="D43" s="163" t="s">
        <v>249</v>
      </c>
      <c r="E43" s="164" t="s">
        <v>209</v>
      </c>
      <c r="F43" s="317">
        <v>0.74506486245544123</v>
      </c>
    </row>
    <row r="44" spans="2:6" s="161" customFormat="1" x14ac:dyDescent="0.25">
      <c r="B44" s="162">
        <f t="shared" ca="1" si="0"/>
        <v>38</v>
      </c>
      <c r="C44" s="161" t="s">
        <v>294</v>
      </c>
      <c r="D44" s="163" t="s">
        <v>295</v>
      </c>
      <c r="E44" s="164" t="s">
        <v>209</v>
      </c>
      <c r="F44" s="317">
        <v>0.60635877252321502</v>
      </c>
    </row>
    <row r="45" spans="2:6" s="161" customFormat="1" x14ac:dyDescent="0.25">
      <c r="B45" s="162">
        <f t="shared" ca="1" si="0"/>
        <v>39</v>
      </c>
      <c r="C45" s="161" t="s">
        <v>357</v>
      </c>
      <c r="D45" s="163" t="s">
        <v>358</v>
      </c>
      <c r="E45" s="164" t="s">
        <v>209</v>
      </c>
      <c r="F45" s="317">
        <v>0.78000527565286204</v>
      </c>
    </row>
    <row r="46" spans="2:6" s="161" customFormat="1" x14ac:dyDescent="0.25">
      <c r="B46" s="162">
        <f t="shared" ca="1" si="0"/>
        <v>40</v>
      </c>
      <c r="C46" s="161" t="s">
        <v>296</v>
      </c>
      <c r="D46" s="163" t="s">
        <v>297</v>
      </c>
      <c r="E46" s="164" t="s">
        <v>209</v>
      </c>
      <c r="F46" s="317">
        <v>0.75327569541402639</v>
      </c>
    </row>
    <row r="47" spans="2:6" s="161" customFormat="1" x14ac:dyDescent="0.25">
      <c r="B47" s="162">
        <f t="shared" ca="1" si="0"/>
        <v>41</v>
      </c>
      <c r="C47" s="161" t="s">
        <v>298</v>
      </c>
      <c r="D47" s="163" t="s">
        <v>299</v>
      </c>
      <c r="E47" s="164" t="s">
        <v>208</v>
      </c>
      <c r="F47" s="317">
        <v>0.92100207603879403</v>
      </c>
    </row>
    <row r="48" spans="2:6" s="161" customFormat="1" x14ac:dyDescent="0.25">
      <c r="B48" s="162">
        <f t="shared" ca="1" si="0"/>
        <v>42</v>
      </c>
      <c r="C48" s="161" t="s">
        <v>379</v>
      </c>
      <c r="D48" s="163" t="s">
        <v>385</v>
      </c>
      <c r="E48" s="164" t="s">
        <v>208</v>
      </c>
      <c r="F48" s="317">
        <v>0.95973415682062291</v>
      </c>
    </row>
    <row r="49" spans="2:6" s="161" customFormat="1" x14ac:dyDescent="0.25">
      <c r="B49" s="162">
        <f t="shared" ca="1" si="0"/>
        <v>43</v>
      </c>
      <c r="C49" s="161" t="s">
        <v>399</v>
      </c>
      <c r="D49" s="163" t="s">
        <v>400</v>
      </c>
      <c r="E49" s="164" t="s">
        <v>208</v>
      </c>
      <c r="F49" s="317">
        <v>0.96437419083942755</v>
      </c>
    </row>
    <row r="50" spans="2:6" s="161" customFormat="1" x14ac:dyDescent="0.25">
      <c r="B50" s="162">
        <f t="shared" ca="1" si="0"/>
        <v>44</v>
      </c>
      <c r="C50" s="161" t="s">
        <v>300</v>
      </c>
      <c r="D50" s="163" t="s">
        <v>301</v>
      </c>
      <c r="E50" s="164" t="s">
        <v>208</v>
      </c>
      <c r="F50" s="317">
        <v>0.98316315446447966</v>
      </c>
    </row>
    <row r="51" spans="2:6" s="161" customFormat="1" x14ac:dyDescent="0.25">
      <c r="B51" s="162">
        <f t="shared" ca="1" si="0"/>
        <v>45</v>
      </c>
      <c r="C51" s="161" t="s">
        <v>412</v>
      </c>
      <c r="D51" s="163" t="s">
        <v>469</v>
      </c>
      <c r="E51" s="164" t="s">
        <v>208</v>
      </c>
      <c r="F51" s="317">
        <v>0.99953194476948282</v>
      </c>
    </row>
    <row r="52" spans="2:6" s="161" customFormat="1" x14ac:dyDescent="0.25">
      <c r="B52" s="162">
        <f t="shared" ca="1" si="0"/>
        <v>46</v>
      </c>
      <c r="C52" s="161" t="s">
        <v>355</v>
      </c>
      <c r="D52" s="163" t="s">
        <v>356</v>
      </c>
      <c r="E52" s="164" t="s">
        <v>209</v>
      </c>
      <c r="F52" s="317">
        <v>0.77742719397953985</v>
      </c>
    </row>
    <row r="53" spans="2:6" s="161" customFormat="1" x14ac:dyDescent="0.25">
      <c r="B53" s="162">
        <f t="shared" ca="1" si="0"/>
        <v>47</v>
      </c>
      <c r="C53" s="161" t="s">
        <v>364</v>
      </c>
      <c r="D53" s="163" t="s">
        <v>365</v>
      </c>
      <c r="E53" s="164" t="s">
        <v>208</v>
      </c>
      <c r="F53" s="317">
        <v>1</v>
      </c>
    </row>
    <row r="54" spans="2:6" s="161" customFormat="1" x14ac:dyDescent="0.25">
      <c r="B54" s="162">
        <f t="shared" ca="1" si="0"/>
        <v>48</v>
      </c>
      <c r="C54" s="161" t="s">
        <v>252</v>
      </c>
      <c r="D54" s="163" t="s">
        <v>253</v>
      </c>
      <c r="E54" s="164" t="s">
        <v>208</v>
      </c>
      <c r="F54" s="317">
        <v>0.97907836472707066</v>
      </c>
    </row>
    <row r="55" spans="2:6" s="161" customFormat="1" x14ac:dyDescent="0.25">
      <c r="B55" s="162">
        <f t="shared" ca="1" si="0"/>
        <v>49</v>
      </c>
      <c r="C55" s="161" t="s">
        <v>256</v>
      </c>
      <c r="D55" s="163" t="s">
        <v>257</v>
      </c>
      <c r="E55" s="164" t="s">
        <v>208</v>
      </c>
      <c r="F55" s="317">
        <v>0.99302150358307584</v>
      </c>
    </row>
    <row r="56" spans="2:6" s="161" customFormat="1" x14ac:dyDescent="0.25">
      <c r="B56" s="162"/>
      <c r="D56" s="163"/>
      <c r="E56" s="164"/>
      <c r="F56" s="317"/>
    </row>
    <row r="57" spans="2:6" s="161" customFormat="1" x14ac:dyDescent="0.25">
      <c r="B57" s="162">
        <f t="shared" ca="1" si="0"/>
        <v>1</v>
      </c>
      <c r="C57" s="161" t="s">
        <v>397</v>
      </c>
      <c r="D57" s="163" t="s">
        <v>398</v>
      </c>
      <c r="E57" s="164" t="s">
        <v>208</v>
      </c>
      <c r="F57" s="317">
        <v>1</v>
      </c>
    </row>
    <row r="58" spans="2:6" s="161" customFormat="1" x14ac:dyDescent="0.25">
      <c r="B58" s="162">
        <f t="shared" ca="1" si="0"/>
        <v>2</v>
      </c>
      <c r="C58" s="161" t="s">
        <v>264</v>
      </c>
      <c r="D58" s="163" t="s">
        <v>265</v>
      </c>
      <c r="E58" s="164" t="s">
        <v>208</v>
      </c>
      <c r="F58" s="317">
        <v>1</v>
      </c>
    </row>
    <row r="59" spans="2:6" s="161" customFormat="1" x14ac:dyDescent="0.25">
      <c r="B59" s="162">
        <f t="shared" ca="1" si="0"/>
        <v>3</v>
      </c>
      <c r="C59" s="161" t="s">
        <v>381</v>
      </c>
      <c r="D59" s="163" t="s">
        <v>369</v>
      </c>
      <c r="E59" s="164" t="s">
        <v>199</v>
      </c>
      <c r="F59" s="317">
        <v>0.14258999999999999</v>
      </c>
    </row>
    <row r="60" spans="2:6" s="161" customFormat="1" x14ac:dyDescent="0.25">
      <c r="B60" s="162">
        <f t="shared" ca="1" si="0"/>
        <v>4</v>
      </c>
      <c r="C60" s="161" t="s">
        <v>292</v>
      </c>
      <c r="D60" s="163" t="s">
        <v>293</v>
      </c>
      <c r="E60" s="164" t="s">
        <v>208</v>
      </c>
      <c r="F60" s="317">
        <v>1</v>
      </c>
    </row>
    <row r="61" spans="2:6" s="161" customFormat="1" x14ac:dyDescent="0.25">
      <c r="B61" s="162">
        <f t="shared" ca="1" si="0"/>
        <v>5</v>
      </c>
      <c r="C61" s="161" t="s">
        <v>418</v>
      </c>
      <c r="D61" s="163" t="s">
        <v>221</v>
      </c>
      <c r="E61" s="164" t="s">
        <v>209</v>
      </c>
      <c r="F61" s="317">
        <v>0.77944722987807114</v>
      </c>
    </row>
    <row r="62" spans="2:6" s="161" customFormat="1" x14ac:dyDescent="0.25">
      <c r="B62" s="162">
        <f t="shared" ca="1" si="0"/>
        <v>6</v>
      </c>
      <c r="C62" s="161" t="s">
        <v>310</v>
      </c>
      <c r="D62" s="163" t="s">
        <v>311</v>
      </c>
      <c r="E62" s="164" t="s">
        <v>208</v>
      </c>
      <c r="F62" s="317">
        <v>0.94986000000000004</v>
      </c>
    </row>
    <row r="63" spans="2:6" s="161" customFormat="1" x14ac:dyDescent="0.25">
      <c r="B63" s="162"/>
      <c r="D63" s="163"/>
      <c r="E63" s="164"/>
    </row>
    <row r="64" spans="2:6" s="161" customFormat="1" x14ac:dyDescent="0.25">
      <c r="B64" s="162">
        <f t="shared" ref="B64" ca="1" si="1">OFFSET( B64, -1, 0 ) + 1</f>
        <v>1</v>
      </c>
      <c r="C64" s="161" t="s">
        <v>428</v>
      </c>
      <c r="D64" s="163" t="s">
        <v>463</v>
      </c>
      <c r="E64" s="164"/>
    </row>
    <row r="65" spans="2:6" s="161" customFormat="1" x14ac:dyDescent="0.25">
      <c r="B65" s="162">
        <f ca="1">OFFSET( B65, -1, 0 ) + 1</f>
        <v>2</v>
      </c>
      <c r="C65" s="161" t="s">
        <v>421</v>
      </c>
      <c r="D65" s="163" t="s">
        <v>422</v>
      </c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E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5" ht="18" x14ac:dyDescent="0.25">
      <c r="A1" s="153" t="s">
        <v>602</v>
      </c>
      <c r="C1" s="154"/>
    </row>
    <row r="3" spans="1:5" x14ac:dyDescent="0.25">
      <c r="E3" s="165">
        <v>41274</v>
      </c>
    </row>
    <row r="5" spans="1:5" s="156" customFormat="1" ht="27.6" x14ac:dyDescent="0.25">
      <c r="C5" s="157" t="s">
        <v>217</v>
      </c>
      <c r="D5" s="158" t="s">
        <v>603</v>
      </c>
      <c r="E5" s="159" t="s">
        <v>604</v>
      </c>
    </row>
    <row r="6" spans="1:5" x14ac:dyDescent="0.25">
      <c r="E6" s="160"/>
    </row>
    <row r="7" spans="1:5" s="161" customFormat="1" x14ac:dyDescent="0.25">
      <c r="B7" s="162">
        <f t="shared" ref="B7:B63" ca="1" si="0">OFFSET( B7, -1, 0 ) + 1</f>
        <v>1</v>
      </c>
      <c r="C7" s="161" t="s">
        <v>222</v>
      </c>
      <c r="D7" s="163" t="s">
        <v>223</v>
      </c>
      <c r="E7" s="164" t="s">
        <v>208</v>
      </c>
    </row>
    <row r="8" spans="1:5" s="161" customFormat="1" x14ac:dyDescent="0.25">
      <c r="B8" s="162">
        <f t="shared" ca="1" si="0"/>
        <v>2</v>
      </c>
      <c r="C8" s="161" t="s">
        <v>224</v>
      </c>
      <c r="D8" s="163" t="s">
        <v>225</v>
      </c>
      <c r="E8" s="164" t="s">
        <v>208</v>
      </c>
    </row>
    <row r="9" spans="1:5" s="161" customFormat="1" x14ac:dyDescent="0.25">
      <c r="B9" s="162">
        <f t="shared" ca="1" si="0"/>
        <v>3</v>
      </c>
      <c r="C9" s="161" t="s">
        <v>230</v>
      </c>
      <c r="D9" s="163" t="s">
        <v>231</v>
      </c>
      <c r="E9" s="164" t="s">
        <v>208</v>
      </c>
    </row>
    <row r="10" spans="1:5" s="161" customFormat="1" x14ac:dyDescent="0.25">
      <c r="B10" s="162">
        <f t="shared" ca="1" si="0"/>
        <v>4</v>
      </c>
      <c r="C10" s="161" t="s">
        <v>227</v>
      </c>
      <c r="D10" s="163" t="s">
        <v>228</v>
      </c>
      <c r="E10" s="164" t="s">
        <v>208</v>
      </c>
    </row>
    <row r="11" spans="1:5" s="161" customFormat="1" x14ac:dyDescent="0.25">
      <c r="B11" s="162">
        <f t="shared" ca="1" si="0"/>
        <v>5</v>
      </c>
      <c r="C11" s="161" t="s">
        <v>243</v>
      </c>
      <c r="D11" s="163" t="s">
        <v>244</v>
      </c>
      <c r="E11" s="164" t="s">
        <v>208</v>
      </c>
    </row>
    <row r="12" spans="1:5" s="161" customFormat="1" x14ac:dyDescent="0.25">
      <c r="B12" s="162">
        <f t="shared" ca="1" si="0"/>
        <v>6</v>
      </c>
      <c r="C12" s="161" t="s">
        <v>250</v>
      </c>
      <c r="D12" s="163" t="s">
        <v>251</v>
      </c>
      <c r="E12" s="164" t="s">
        <v>208</v>
      </c>
    </row>
    <row r="13" spans="1:5" s="161" customFormat="1" x14ac:dyDescent="0.25">
      <c r="B13" s="162">
        <f t="shared" ca="1" si="0"/>
        <v>7</v>
      </c>
      <c r="C13" s="161" t="s">
        <v>254</v>
      </c>
      <c r="D13" s="163" t="s">
        <v>255</v>
      </c>
      <c r="E13" s="164" t="s">
        <v>209</v>
      </c>
    </row>
    <row r="14" spans="1:5" s="161" customFormat="1" x14ac:dyDescent="0.25">
      <c r="B14" s="162">
        <f t="shared" ca="1" si="0"/>
        <v>8</v>
      </c>
      <c r="C14" s="161" t="s">
        <v>259</v>
      </c>
      <c r="D14" s="163" t="s">
        <v>388</v>
      </c>
      <c r="E14" s="164" t="s">
        <v>208</v>
      </c>
    </row>
    <row r="15" spans="1:5" s="161" customFormat="1" x14ac:dyDescent="0.25">
      <c r="B15" s="162">
        <f t="shared" ca="1" si="0"/>
        <v>9</v>
      </c>
      <c r="C15" s="161" t="s">
        <v>261</v>
      </c>
      <c r="D15" s="163" t="s">
        <v>262</v>
      </c>
      <c r="E15" s="164" t="s">
        <v>208</v>
      </c>
    </row>
    <row r="16" spans="1:5" s="161" customFormat="1" x14ac:dyDescent="0.25">
      <c r="B16" s="162">
        <f t="shared" ca="1" si="0"/>
        <v>10</v>
      </c>
      <c r="C16" s="161" t="s">
        <v>232</v>
      </c>
      <c r="D16" s="163" t="s">
        <v>233</v>
      </c>
      <c r="E16" s="164" t="s">
        <v>208</v>
      </c>
    </row>
    <row r="17" spans="2:5" s="161" customFormat="1" x14ac:dyDescent="0.25">
      <c r="B17" s="162">
        <f t="shared" ca="1" si="0"/>
        <v>11</v>
      </c>
      <c r="C17" s="161" t="s">
        <v>371</v>
      </c>
      <c r="D17" s="163" t="s">
        <v>199</v>
      </c>
      <c r="E17" s="164" t="s">
        <v>209</v>
      </c>
    </row>
    <row r="18" spans="2:5" s="161" customFormat="1" x14ac:dyDescent="0.25">
      <c r="B18" s="162">
        <f t="shared" ca="1" si="0"/>
        <v>12</v>
      </c>
      <c r="C18" s="161" t="s">
        <v>266</v>
      </c>
      <c r="D18" s="163" t="s">
        <v>267</v>
      </c>
      <c r="E18" s="164" t="s">
        <v>208</v>
      </c>
    </row>
    <row r="19" spans="2:5" s="161" customFormat="1" x14ac:dyDescent="0.25">
      <c r="B19" s="162">
        <f t="shared" ca="1" si="0"/>
        <v>13</v>
      </c>
      <c r="C19" s="161" t="s">
        <v>268</v>
      </c>
      <c r="D19" s="163" t="s">
        <v>269</v>
      </c>
      <c r="E19" s="164" t="s">
        <v>208</v>
      </c>
    </row>
    <row r="20" spans="2:5" s="161" customFormat="1" x14ac:dyDescent="0.25">
      <c r="B20" s="162">
        <f t="shared" ca="1" si="0"/>
        <v>14</v>
      </c>
      <c r="C20" s="161" t="s">
        <v>270</v>
      </c>
      <c r="D20" s="163" t="s">
        <v>271</v>
      </c>
      <c r="E20" s="164" t="s">
        <v>208</v>
      </c>
    </row>
    <row r="21" spans="2:5" s="161" customFormat="1" x14ac:dyDescent="0.25">
      <c r="B21" s="162">
        <f t="shared" ca="1" si="0"/>
        <v>15</v>
      </c>
      <c r="C21" s="161" t="s">
        <v>338</v>
      </c>
      <c r="D21" s="163" t="s">
        <v>341</v>
      </c>
      <c r="E21" s="164" t="s">
        <v>208</v>
      </c>
    </row>
    <row r="22" spans="2:5" s="161" customFormat="1" x14ac:dyDescent="0.25">
      <c r="B22" s="162">
        <f t="shared" ca="1" si="0"/>
        <v>16</v>
      </c>
      <c r="C22" s="161" t="s">
        <v>377</v>
      </c>
      <c r="D22" s="163" t="s">
        <v>378</v>
      </c>
      <c r="E22" s="164" t="s">
        <v>208</v>
      </c>
    </row>
    <row r="23" spans="2:5" s="161" customFormat="1" x14ac:dyDescent="0.25">
      <c r="B23" s="162">
        <f t="shared" ca="1" si="0"/>
        <v>17</v>
      </c>
      <c r="C23" s="161" t="s">
        <v>272</v>
      </c>
      <c r="D23" s="163" t="s">
        <v>273</v>
      </c>
      <c r="E23" s="164" t="s">
        <v>208</v>
      </c>
    </row>
    <row r="24" spans="2:5" s="161" customFormat="1" x14ac:dyDescent="0.25">
      <c r="B24" s="162">
        <f t="shared" ca="1" si="0"/>
        <v>18</v>
      </c>
      <c r="C24" s="161" t="s">
        <v>274</v>
      </c>
      <c r="D24" s="163" t="s">
        <v>275</v>
      </c>
      <c r="E24" s="164" t="s">
        <v>209</v>
      </c>
    </row>
    <row r="25" spans="2:5" s="161" customFormat="1" x14ac:dyDescent="0.25">
      <c r="B25" s="162">
        <f t="shared" ca="1" si="0"/>
        <v>19</v>
      </c>
      <c r="C25" s="161" t="s">
        <v>280</v>
      </c>
      <c r="D25" s="163" t="s">
        <v>281</v>
      </c>
      <c r="E25" s="164" t="s">
        <v>209</v>
      </c>
    </row>
    <row r="26" spans="2:5" s="161" customFormat="1" x14ac:dyDescent="0.25">
      <c r="B26" s="162">
        <f t="shared" ca="1" si="0"/>
        <v>20</v>
      </c>
      <c r="C26" s="161" t="s">
        <v>362</v>
      </c>
      <c r="D26" s="163" t="s">
        <v>363</v>
      </c>
      <c r="E26" s="164" t="s">
        <v>208</v>
      </c>
    </row>
    <row r="27" spans="2:5" s="161" customFormat="1" x14ac:dyDescent="0.25">
      <c r="B27" s="162">
        <f t="shared" ca="1" si="0"/>
        <v>21</v>
      </c>
      <c r="C27" s="161" t="s">
        <v>284</v>
      </c>
      <c r="D27" s="163" t="s">
        <v>285</v>
      </c>
      <c r="E27" s="164" t="s">
        <v>209</v>
      </c>
    </row>
    <row r="28" spans="2:5" s="161" customFormat="1" x14ac:dyDescent="0.25">
      <c r="B28" s="162">
        <f t="shared" ca="1" si="0"/>
        <v>22</v>
      </c>
      <c r="C28" s="161" t="s">
        <v>288</v>
      </c>
      <c r="D28" s="163" t="s">
        <v>289</v>
      </c>
      <c r="E28" s="164" t="s">
        <v>208</v>
      </c>
    </row>
    <row r="29" spans="2:5" s="161" customFormat="1" x14ac:dyDescent="0.25">
      <c r="B29" s="162">
        <f t="shared" ca="1" si="0"/>
        <v>23</v>
      </c>
      <c r="C29" s="161" t="s">
        <v>405</v>
      </c>
      <c r="D29" s="163" t="s">
        <v>406</v>
      </c>
      <c r="E29" s="164" t="s">
        <v>208</v>
      </c>
    </row>
    <row r="30" spans="2:5" s="161" customFormat="1" x14ac:dyDescent="0.25">
      <c r="B30" s="162">
        <f t="shared" ca="1" si="0"/>
        <v>24</v>
      </c>
      <c r="C30" s="161" t="s">
        <v>276</v>
      </c>
      <c r="D30" s="163" t="s">
        <v>277</v>
      </c>
      <c r="E30" s="164" t="s">
        <v>199</v>
      </c>
    </row>
    <row r="31" spans="2:5" s="161" customFormat="1" x14ac:dyDescent="0.25">
      <c r="B31" s="162">
        <f t="shared" ca="1" si="0"/>
        <v>25</v>
      </c>
      <c r="C31" s="161" t="s">
        <v>313</v>
      </c>
      <c r="D31" s="163" t="s">
        <v>471</v>
      </c>
      <c r="E31" s="164" t="s">
        <v>209</v>
      </c>
    </row>
    <row r="32" spans="2:5" s="161" customFormat="1" x14ac:dyDescent="0.25">
      <c r="B32" s="162">
        <f t="shared" ca="1" si="0"/>
        <v>26</v>
      </c>
      <c r="C32" s="161" t="s">
        <v>245</v>
      </c>
      <c r="D32" s="163" t="s">
        <v>246</v>
      </c>
      <c r="E32" s="164" t="s">
        <v>209</v>
      </c>
    </row>
    <row r="33" spans="2:5" s="161" customFormat="1" x14ac:dyDescent="0.25">
      <c r="B33" s="162">
        <f t="shared" ca="1" si="0"/>
        <v>27</v>
      </c>
      <c r="C33" s="161" t="s">
        <v>278</v>
      </c>
      <c r="D33" s="163" t="s">
        <v>279</v>
      </c>
      <c r="E33" s="164" t="s">
        <v>209</v>
      </c>
    </row>
    <row r="34" spans="2:5" s="161" customFormat="1" x14ac:dyDescent="0.25">
      <c r="B34" s="162">
        <f t="shared" ca="1" si="0"/>
        <v>28</v>
      </c>
      <c r="C34" s="161" t="s">
        <v>404</v>
      </c>
      <c r="D34" s="163" t="s">
        <v>241</v>
      </c>
      <c r="E34" s="164" t="s">
        <v>208</v>
      </c>
    </row>
    <row r="35" spans="2:5" s="161" customFormat="1" x14ac:dyDescent="0.25">
      <c r="B35" s="162">
        <f t="shared" ca="1" si="0"/>
        <v>29</v>
      </c>
      <c r="C35" s="161" t="s">
        <v>302</v>
      </c>
      <c r="D35" s="163" t="s">
        <v>303</v>
      </c>
      <c r="E35" s="164" t="s">
        <v>208</v>
      </c>
    </row>
    <row r="36" spans="2:5" s="161" customFormat="1" x14ac:dyDescent="0.25">
      <c r="B36" s="162">
        <f t="shared" ca="1" si="0"/>
        <v>30</v>
      </c>
      <c r="C36" s="161" t="s">
        <v>421</v>
      </c>
      <c r="D36" s="163" t="s">
        <v>422</v>
      </c>
      <c r="E36" s="164" t="s">
        <v>208</v>
      </c>
    </row>
    <row r="37" spans="2:5" s="161" customFormat="1" x14ac:dyDescent="0.25">
      <c r="B37" s="162">
        <f t="shared" ca="1" si="0"/>
        <v>31</v>
      </c>
      <c r="C37" s="161" t="s">
        <v>282</v>
      </c>
      <c r="D37" s="163" t="s">
        <v>283</v>
      </c>
      <c r="E37" s="164" t="s">
        <v>209</v>
      </c>
    </row>
    <row r="38" spans="2:5" s="161" customFormat="1" x14ac:dyDescent="0.25">
      <c r="B38" s="162">
        <f t="shared" ca="1" si="0"/>
        <v>32</v>
      </c>
      <c r="C38" s="161" t="s">
        <v>304</v>
      </c>
      <c r="D38" s="163" t="s">
        <v>305</v>
      </c>
      <c r="E38" s="164" t="s">
        <v>209</v>
      </c>
    </row>
    <row r="39" spans="2:5" s="161" customFormat="1" x14ac:dyDescent="0.25">
      <c r="B39" s="162">
        <f t="shared" ca="1" si="0"/>
        <v>33</v>
      </c>
      <c r="C39" s="161" t="s">
        <v>392</v>
      </c>
      <c r="D39" s="163" t="s">
        <v>393</v>
      </c>
      <c r="E39" s="164" t="s">
        <v>209</v>
      </c>
    </row>
    <row r="40" spans="2:5" s="161" customFormat="1" x14ac:dyDescent="0.25">
      <c r="B40" s="162">
        <f t="shared" ca="1" si="0"/>
        <v>34</v>
      </c>
      <c r="C40" s="161" t="s">
        <v>306</v>
      </c>
      <c r="D40" s="163" t="s">
        <v>307</v>
      </c>
      <c r="E40" s="164" t="s">
        <v>208</v>
      </c>
    </row>
    <row r="41" spans="2:5" s="161" customFormat="1" x14ac:dyDescent="0.25">
      <c r="B41" s="162">
        <f t="shared" ca="1" si="0"/>
        <v>35</v>
      </c>
      <c r="C41" s="161" t="s">
        <v>286</v>
      </c>
      <c r="D41" s="163" t="s">
        <v>287</v>
      </c>
      <c r="E41" s="164" t="s">
        <v>208</v>
      </c>
    </row>
    <row r="42" spans="2:5" s="161" customFormat="1" x14ac:dyDescent="0.25">
      <c r="B42" s="162">
        <f t="shared" ca="1" si="0"/>
        <v>36</v>
      </c>
      <c r="C42" s="161" t="s">
        <v>308</v>
      </c>
      <c r="D42" s="163" t="s">
        <v>309</v>
      </c>
      <c r="E42" s="164" t="s">
        <v>208</v>
      </c>
    </row>
    <row r="43" spans="2:5" s="161" customFormat="1" x14ac:dyDescent="0.25">
      <c r="B43" s="162">
        <f t="shared" ca="1" si="0"/>
        <v>37</v>
      </c>
      <c r="C43" s="161" t="s">
        <v>290</v>
      </c>
      <c r="D43" s="163" t="s">
        <v>291</v>
      </c>
      <c r="E43" s="164" t="s">
        <v>208</v>
      </c>
    </row>
    <row r="44" spans="2:5" s="161" customFormat="1" x14ac:dyDescent="0.25">
      <c r="B44" s="162">
        <f t="shared" ca="1" si="0"/>
        <v>38</v>
      </c>
      <c r="C44" s="161" t="s">
        <v>248</v>
      </c>
      <c r="D44" s="163" t="s">
        <v>249</v>
      </c>
      <c r="E44" s="164" t="s">
        <v>209</v>
      </c>
    </row>
    <row r="45" spans="2:5" s="161" customFormat="1" x14ac:dyDescent="0.25">
      <c r="B45" s="162">
        <f t="shared" ca="1" si="0"/>
        <v>39</v>
      </c>
      <c r="C45" s="161" t="s">
        <v>294</v>
      </c>
      <c r="D45" s="163" t="s">
        <v>295</v>
      </c>
      <c r="E45" s="164" t="s">
        <v>209</v>
      </c>
    </row>
    <row r="46" spans="2:5" s="161" customFormat="1" x14ac:dyDescent="0.25">
      <c r="B46" s="162">
        <f t="shared" ca="1" si="0"/>
        <v>40</v>
      </c>
      <c r="C46" s="161" t="s">
        <v>357</v>
      </c>
      <c r="D46" s="163" t="s">
        <v>358</v>
      </c>
      <c r="E46" s="164" t="s">
        <v>209</v>
      </c>
    </row>
    <row r="47" spans="2:5" s="161" customFormat="1" x14ac:dyDescent="0.25">
      <c r="B47" s="162">
        <f t="shared" ca="1" si="0"/>
        <v>41</v>
      </c>
      <c r="C47" s="161" t="s">
        <v>296</v>
      </c>
      <c r="D47" s="163" t="s">
        <v>297</v>
      </c>
      <c r="E47" s="164" t="s">
        <v>209</v>
      </c>
    </row>
    <row r="48" spans="2:5" s="161" customFormat="1" x14ac:dyDescent="0.25">
      <c r="B48" s="162">
        <f t="shared" ca="1" si="0"/>
        <v>42</v>
      </c>
      <c r="C48" s="161" t="s">
        <v>298</v>
      </c>
      <c r="D48" s="163" t="s">
        <v>299</v>
      </c>
      <c r="E48" s="164" t="s">
        <v>208</v>
      </c>
    </row>
    <row r="49" spans="2:5" s="161" customFormat="1" x14ac:dyDescent="0.25">
      <c r="B49" s="162">
        <f t="shared" ca="1" si="0"/>
        <v>43</v>
      </c>
      <c r="C49" s="161" t="s">
        <v>379</v>
      </c>
      <c r="D49" s="163" t="s">
        <v>385</v>
      </c>
      <c r="E49" s="164" t="s">
        <v>208</v>
      </c>
    </row>
    <row r="50" spans="2:5" s="161" customFormat="1" x14ac:dyDescent="0.25">
      <c r="B50" s="162">
        <f t="shared" ca="1" si="0"/>
        <v>44</v>
      </c>
      <c r="C50" s="161" t="s">
        <v>399</v>
      </c>
      <c r="D50" s="163" t="s">
        <v>400</v>
      </c>
      <c r="E50" s="164" t="s">
        <v>208</v>
      </c>
    </row>
    <row r="51" spans="2:5" s="161" customFormat="1" x14ac:dyDescent="0.25">
      <c r="B51" s="162">
        <f t="shared" ca="1" si="0"/>
        <v>45</v>
      </c>
      <c r="C51" s="161" t="s">
        <v>300</v>
      </c>
      <c r="D51" s="163" t="s">
        <v>301</v>
      </c>
      <c r="E51" s="164" t="s">
        <v>208</v>
      </c>
    </row>
    <row r="52" spans="2:5" s="161" customFormat="1" x14ac:dyDescent="0.25">
      <c r="B52" s="162">
        <f t="shared" ca="1" si="0"/>
        <v>46</v>
      </c>
      <c r="C52" s="161" t="s">
        <v>412</v>
      </c>
      <c r="D52" s="163" t="s">
        <v>469</v>
      </c>
      <c r="E52" s="164" t="s">
        <v>208</v>
      </c>
    </row>
    <row r="53" spans="2:5" s="161" customFormat="1" x14ac:dyDescent="0.25">
      <c r="B53" s="162">
        <f t="shared" ca="1" si="0"/>
        <v>47</v>
      </c>
      <c r="C53" s="161" t="s">
        <v>355</v>
      </c>
      <c r="D53" s="163" t="s">
        <v>356</v>
      </c>
      <c r="E53" s="164" t="s">
        <v>209</v>
      </c>
    </row>
    <row r="54" spans="2:5" s="161" customFormat="1" x14ac:dyDescent="0.25">
      <c r="B54" s="162">
        <f t="shared" ca="1" si="0"/>
        <v>48</v>
      </c>
      <c r="C54" s="161" t="s">
        <v>364</v>
      </c>
      <c r="D54" s="163" t="s">
        <v>365</v>
      </c>
      <c r="E54" s="164" t="s">
        <v>208</v>
      </c>
    </row>
    <row r="55" spans="2:5" s="161" customFormat="1" x14ac:dyDescent="0.25">
      <c r="B55" s="162">
        <f t="shared" ca="1" si="0"/>
        <v>49</v>
      </c>
      <c r="C55" s="161" t="s">
        <v>252</v>
      </c>
      <c r="D55" s="163" t="s">
        <v>253</v>
      </c>
      <c r="E55" s="164" t="s">
        <v>208</v>
      </c>
    </row>
    <row r="56" spans="2:5" s="161" customFormat="1" x14ac:dyDescent="0.25">
      <c r="B56" s="162">
        <f t="shared" ca="1" si="0"/>
        <v>50</v>
      </c>
      <c r="C56" s="161" t="s">
        <v>256</v>
      </c>
      <c r="D56" s="163" t="s">
        <v>257</v>
      </c>
      <c r="E56" s="164" t="s">
        <v>208</v>
      </c>
    </row>
    <row r="57" spans="2:5" s="161" customFormat="1" x14ac:dyDescent="0.25">
      <c r="B57" s="162"/>
      <c r="D57" s="163"/>
      <c r="E57" s="164"/>
    </row>
    <row r="58" spans="2:5" s="161" customFormat="1" x14ac:dyDescent="0.25">
      <c r="B58" s="162">
        <f t="shared" ca="1" si="0"/>
        <v>1</v>
      </c>
      <c r="C58" s="161" t="s">
        <v>397</v>
      </c>
      <c r="D58" s="163" t="s">
        <v>398</v>
      </c>
      <c r="E58" s="164" t="s">
        <v>208</v>
      </c>
    </row>
    <row r="59" spans="2:5" s="161" customFormat="1" x14ac:dyDescent="0.25">
      <c r="B59" s="162">
        <f t="shared" ca="1" si="0"/>
        <v>2</v>
      </c>
      <c r="C59" s="161" t="s">
        <v>264</v>
      </c>
      <c r="D59" s="163" t="s">
        <v>265</v>
      </c>
      <c r="E59" s="164" t="s">
        <v>208</v>
      </c>
    </row>
    <row r="60" spans="2:5" s="161" customFormat="1" x14ac:dyDescent="0.25">
      <c r="B60" s="162">
        <f t="shared" ca="1" si="0"/>
        <v>3</v>
      </c>
      <c r="C60" s="161" t="s">
        <v>381</v>
      </c>
      <c r="D60" s="163" t="s">
        <v>369</v>
      </c>
      <c r="E60" s="164" t="s">
        <v>199</v>
      </c>
    </row>
    <row r="61" spans="2:5" s="161" customFormat="1" x14ac:dyDescent="0.25">
      <c r="B61" s="162">
        <f t="shared" ca="1" si="0"/>
        <v>4</v>
      </c>
      <c r="C61" s="161" t="s">
        <v>292</v>
      </c>
      <c r="D61" s="163" t="s">
        <v>293</v>
      </c>
      <c r="E61" s="164" t="s">
        <v>208</v>
      </c>
    </row>
    <row r="62" spans="2:5" s="161" customFormat="1" x14ac:dyDescent="0.25">
      <c r="B62" s="162">
        <f t="shared" ca="1" si="0"/>
        <v>5</v>
      </c>
      <c r="C62" s="161" t="s">
        <v>418</v>
      </c>
      <c r="D62" s="163" t="s">
        <v>221</v>
      </c>
      <c r="E62" s="164" t="s">
        <v>209</v>
      </c>
    </row>
    <row r="63" spans="2:5" s="161" customFormat="1" x14ac:dyDescent="0.25">
      <c r="B63" s="162">
        <f t="shared" ca="1" si="0"/>
        <v>6</v>
      </c>
      <c r="C63" s="161" t="s">
        <v>310</v>
      </c>
      <c r="D63" s="163" t="s">
        <v>311</v>
      </c>
      <c r="E63" s="164" t="s">
        <v>208</v>
      </c>
    </row>
    <row r="64" spans="2:5" s="161" customFormat="1" x14ac:dyDescent="0.25">
      <c r="B64" s="162"/>
      <c r="D64" s="163"/>
      <c r="E64" s="164"/>
    </row>
    <row r="65" spans="2:5" s="161" customFormat="1" x14ac:dyDescent="0.25">
      <c r="B65" s="162">
        <f t="shared" ref="B65" ca="1" si="1">OFFSET( B65, -1, 0 ) + 1</f>
        <v>1</v>
      </c>
      <c r="C65" s="161" t="s">
        <v>428</v>
      </c>
      <c r="D65" s="163" t="s">
        <v>463</v>
      </c>
      <c r="E65" s="164" t="s">
        <v>208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99"/>
  </sheetPr>
  <dimension ref="A1:E70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5" ht="18" x14ac:dyDescent="0.25">
      <c r="A1" s="153" t="s">
        <v>602</v>
      </c>
      <c r="C1" s="154"/>
    </row>
    <row r="3" spans="1:5" x14ac:dyDescent="0.25">
      <c r="E3" s="165">
        <v>40908</v>
      </c>
    </row>
    <row r="5" spans="1:5" s="156" customFormat="1" ht="27.6" x14ac:dyDescent="0.25">
      <c r="C5" s="157" t="s">
        <v>217</v>
      </c>
      <c r="D5" s="158" t="s">
        <v>603</v>
      </c>
      <c r="E5" s="159" t="s">
        <v>604</v>
      </c>
    </row>
    <row r="6" spans="1:5" x14ac:dyDescent="0.25">
      <c r="E6" s="160"/>
    </row>
    <row r="7" spans="1:5" s="161" customFormat="1" x14ac:dyDescent="0.25">
      <c r="B7" s="162">
        <f t="shared" ref="B7:B68" ca="1" si="0">OFFSET( B7, -1, 0 ) + 1</f>
        <v>1</v>
      </c>
      <c r="C7" s="161" t="s">
        <v>222</v>
      </c>
      <c r="D7" s="163" t="s">
        <v>223</v>
      </c>
      <c r="E7" s="164" t="s">
        <v>208</v>
      </c>
    </row>
    <row r="8" spans="1:5" s="161" customFormat="1" x14ac:dyDescent="0.25">
      <c r="B8" s="162">
        <f t="shared" ca="1" si="0"/>
        <v>2</v>
      </c>
      <c r="C8" s="161" t="s">
        <v>224</v>
      </c>
      <c r="D8" s="163" t="s">
        <v>225</v>
      </c>
      <c r="E8" s="164" t="s">
        <v>208</v>
      </c>
    </row>
    <row r="9" spans="1:5" s="161" customFormat="1" x14ac:dyDescent="0.25">
      <c r="B9" s="162">
        <f t="shared" ca="1" si="0"/>
        <v>3</v>
      </c>
      <c r="C9" s="161" t="s">
        <v>230</v>
      </c>
      <c r="D9" s="163" t="s">
        <v>231</v>
      </c>
      <c r="E9" s="164" t="s">
        <v>208</v>
      </c>
    </row>
    <row r="10" spans="1:5" s="161" customFormat="1" x14ac:dyDescent="0.25">
      <c r="B10" s="162">
        <f t="shared" ca="1" si="0"/>
        <v>4</v>
      </c>
      <c r="C10" s="161" t="s">
        <v>227</v>
      </c>
      <c r="D10" s="163" t="s">
        <v>228</v>
      </c>
      <c r="E10" s="164" t="s">
        <v>208</v>
      </c>
    </row>
    <row r="11" spans="1:5" s="161" customFormat="1" x14ac:dyDescent="0.25">
      <c r="B11" s="162">
        <f t="shared" ca="1" si="0"/>
        <v>5</v>
      </c>
      <c r="C11" s="161" t="s">
        <v>243</v>
      </c>
      <c r="D11" s="163" t="s">
        <v>244</v>
      </c>
      <c r="E11" s="164" t="s">
        <v>208</v>
      </c>
    </row>
    <row r="12" spans="1:5" s="161" customFormat="1" x14ac:dyDescent="0.25">
      <c r="B12" s="162">
        <f t="shared" ca="1" si="0"/>
        <v>6</v>
      </c>
      <c r="C12" s="161" t="s">
        <v>250</v>
      </c>
      <c r="D12" s="163" t="s">
        <v>251</v>
      </c>
      <c r="E12" s="164" t="s">
        <v>209</v>
      </c>
    </row>
    <row r="13" spans="1:5" s="161" customFormat="1" x14ac:dyDescent="0.25">
      <c r="B13" s="162">
        <f t="shared" ca="1" si="0"/>
        <v>7</v>
      </c>
      <c r="C13" s="161" t="s">
        <v>254</v>
      </c>
      <c r="D13" s="163" t="s">
        <v>255</v>
      </c>
      <c r="E13" s="164" t="s">
        <v>209</v>
      </c>
    </row>
    <row r="14" spans="1:5" s="161" customFormat="1" x14ac:dyDescent="0.25">
      <c r="B14" s="162">
        <f t="shared" ca="1" si="0"/>
        <v>8</v>
      </c>
      <c r="C14" s="161" t="s">
        <v>434</v>
      </c>
      <c r="D14" s="163" t="s">
        <v>435</v>
      </c>
      <c r="E14" s="164" t="s">
        <v>208</v>
      </c>
    </row>
    <row r="15" spans="1:5" s="161" customFormat="1" x14ac:dyDescent="0.25">
      <c r="B15" s="162">
        <f t="shared" ca="1" si="0"/>
        <v>9</v>
      </c>
      <c r="C15" s="161" t="s">
        <v>428</v>
      </c>
      <c r="D15" s="163" t="s">
        <v>463</v>
      </c>
      <c r="E15" s="164" t="s">
        <v>208</v>
      </c>
    </row>
    <row r="16" spans="1:5" s="161" customFormat="1" x14ac:dyDescent="0.25">
      <c r="B16" s="162">
        <f t="shared" ca="1" si="0"/>
        <v>10</v>
      </c>
      <c r="C16" s="161" t="s">
        <v>259</v>
      </c>
      <c r="D16" s="163" t="s">
        <v>388</v>
      </c>
      <c r="E16" s="164" t="s">
        <v>208</v>
      </c>
    </row>
    <row r="17" spans="2:5" s="161" customFormat="1" x14ac:dyDescent="0.25">
      <c r="B17" s="162">
        <f t="shared" ca="1" si="0"/>
        <v>11</v>
      </c>
      <c r="C17" s="161" t="s">
        <v>261</v>
      </c>
      <c r="D17" s="163" t="s">
        <v>262</v>
      </c>
      <c r="E17" s="164" t="s">
        <v>208</v>
      </c>
    </row>
    <row r="18" spans="2:5" s="161" customFormat="1" x14ac:dyDescent="0.25">
      <c r="B18" s="162">
        <f t="shared" ca="1" si="0"/>
        <v>12</v>
      </c>
      <c r="C18" s="161" t="s">
        <v>232</v>
      </c>
      <c r="D18" s="163" t="s">
        <v>233</v>
      </c>
      <c r="E18" s="164" t="s">
        <v>208</v>
      </c>
    </row>
    <row r="19" spans="2:5" s="161" customFormat="1" x14ac:dyDescent="0.25">
      <c r="B19" s="162">
        <f t="shared" ca="1" si="0"/>
        <v>13</v>
      </c>
      <c r="C19" s="161" t="s">
        <v>473</v>
      </c>
      <c r="D19" s="163" t="s">
        <v>462</v>
      </c>
      <c r="E19" s="164" t="s">
        <v>199</v>
      </c>
    </row>
    <row r="20" spans="2:5" s="161" customFormat="1" x14ac:dyDescent="0.25">
      <c r="B20" s="162">
        <f t="shared" ca="1" si="0"/>
        <v>14</v>
      </c>
      <c r="C20" s="161" t="s">
        <v>371</v>
      </c>
      <c r="D20" s="163" t="s">
        <v>199</v>
      </c>
      <c r="E20" s="164" t="s">
        <v>209</v>
      </c>
    </row>
    <row r="21" spans="2:5" s="161" customFormat="1" x14ac:dyDescent="0.25">
      <c r="B21" s="162">
        <f t="shared" ca="1" si="0"/>
        <v>15</v>
      </c>
      <c r="C21" s="161" t="s">
        <v>266</v>
      </c>
      <c r="D21" s="163" t="s">
        <v>267</v>
      </c>
      <c r="E21" s="164" t="s">
        <v>208</v>
      </c>
    </row>
    <row r="22" spans="2:5" s="161" customFormat="1" x14ac:dyDescent="0.25">
      <c r="B22" s="162">
        <f t="shared" ca="1" si="0"/>
        <v>16</v>
      </c>
      <c r="C22" s="161" t="s">
        <v>268</v>
      </c>
      <c r="D22" s="163" t="s">
        <v>269</v>
      </c>
      <c r="E22" s="164" t="s">
        <v>209</v>
      </c>
    </row>
    <row r="23" spans="2:5" s="161" customFormat="1" x14ac:dyDescent="0.25">
      <c r="B23" s="162">
        <f t="shared" ca="1" si="0"/>
        <v>17</v>
      </c>
      <c r="C23" s="161" t="s">
        <v>270</v>
      </c>
      <c r="D23" s="163" t="s">
        <v>271</v>
      </c>
      <c r="E23" s="164" t="s">
        <v>208</v>
      </c>
    </row>
    <row r="24" spans="2:5" s="161" customFormat="1" x14ac:dyDescent="0.25">
      <c r="B24" s="162">
        <f t="shared" ca="1" si="0"/>
        <v>18</v>
      </c>
      <c r="C24" s="161" t="s">
        <v>338</v>
      </c>
      <c r="D24" s="163" t="s">
        <v>341</v>
      </c>
      <c r="E24" s="164" t="s">
        <v>208</v>
      </c>
    </row>
    <row r="25" spans="2:5" s="161" customFormat="1" x14ac:dyDescent="0.25">
      <c r="B25" s="162">
        <f t="shared" ca="1" si="0"/>
        <v>19</v>
      </c>
      <c r="C25" s="161" t="s">
        <v>377</v>
      </c>
      <c r="D25" s="163" t="s">
        <v>378</v>
      </c>
      <c r="E25" s="164" t="s">
        <v>208</v>
      </c>
    </row>
    <row r="26" spans="2:5" s="161" customFormat="1" x14ac:dyDescent="0.25">
      <c r="B26" s="162">
        <f t="shared" ca="1" si="0"/>
        <v>20</v>
      </c>
      <c r="C26" s="161" t="s">
        <v>272</v>
      </c>
      <c r="D26" s="163" t="s">
        <v>273</v>
      </c>
      <c r="E26" s="164" t="s">
        <v>208</v>
      </c>
    </row>
    <row r="27" spans="2:5" s="161" customFormat="1" x14ac:dyDescent="0.25">
      <c r="B27" s="162">
        <f t="shared" ca="1" si="0"/>
        <v>21</v>
      </c>
      <c r="C27" s="161" t="s">
        <v>274</v>
      </c>
      <c r="D27" s="163" t="s">
        <v>275</v>
      </c>
      <c r="E27" s="164" t="s">
        <v>209</v>
      </c>
    </row>
    <row r="28" spans="2:5" s="161" customFormat="1" x14ac:dyDescent="0.25">
      <c r="B28" s="162">
        <f t="shared" ca="1" si="0"/>
        <v>22</v>
      </c>
      <c r="C28" s="161" t="s">
        <v>280</v>
      </c>
      <c r="D28" s="163" t="s">
        <v>281</v>
      </c>
      <c r="E28" s="164" t="s">
        <v>209</v>
      </c>
    </row>
    <row r="29" spans="2:5" s="161" customFormat="1" x14ac:dyDescent="0.25">
      <c r="B29" s="162">
        <f t="shared" ca="1" si="0"/>
        <v>23</v>
      </c>
      <c r="C29" s="161" t="s">
        <v>362</v>
      </c>
      <c r="D29" s="163" t="s">
        <v>363</v>
      </c>
      <c r="E29" s="164" t="s">
        <v>208</v>
      </c>
    </row>
    <row r="30" spans="2:5" s="161" customFormat="1" x14ac:dyDescent="0.25">
      <c r="B30" s="162">
        <f t="shared" ca="1" si="0"/>
        <v>24</v>
      </c>
      <c r="C30" s="161" t="s">
        <v>284</v>
      </c>
      <c r="D30" s="163" t="s">
        <v>285</v>
      </c>
      <c r="E30" s="164" t="s">
        <v>199</v>
      </c>
    </row>
    <row r="31" spans="2:5" s="161" customFormat="1" x14ac:dyDescent="0.25">
      <c r="B31" s="162">
        <f t="shared" ca="1" si="0"/>
        <v>25</v>
      </c>
      <c r="C31" s="161" t="s">
        <v>288</v>
      </c>
      <c r="D31" s="163" t="s">
        <v>289</v>
      </c>
      <c r="E31" s="164" t="s">
        <v>208</v>
      </c>
    </row>
    <row r="32" spans="2:5" s="161" customFormat="1" x14ac:dyDescent="0.25">
      <c r="B32" s="162">
        <f t="shared" ca="1" si="0"/>
        <v>26</v>
      </c>
      <c r="C32" s="161" t="s">
        <v>405</v>
      </c>
      <c r="D32" s="163" t="s">
        <v>406</v>
      </c>
      <c r="E32" s="164" t="s">
        <v>208</v>
      </c>
    </row>
    <row r="33" spans="2:5" s="161" customFormat="1" x14ac:dyDescent="0.25">
      <c r="B33" s="162">
        <f t="shared" ca="1" si="0"/>
        <v>27</v>
      </c>
      <c r="C33" s="161" t="s">
        <v>276</v>
      </c>
      <c r="D33" s="163" t="s">
        <v>277</v>
      </c>
      <c r="E33" s="164" t="s">
        <v>199</v>
      </c>
    </row>
    <row r="34" spans="2:5" s="161" customFormat="1" x14ac:dyDescent="0.25">
      <c r="B34" s="162">
        <f t="shared" ca="1" si="0"/>
        <v>28</v>
      </c>
      <c r="C34" s="161" t="s">
        <v>313</v>
      </c>
      <c r="D34" s="163" t="s">
        <v>471</v>
      </c>
      <c r="E34" s="164" t="s">
        <v>209</v>
      </c>
    </row>
    <row r="35" spans="2:5" s="161" customFormat="1" x14ac:dyDescent="0.25">
      <c r="B35" s="162">
        <f t="shared" ca="1" si="0"/>
        <v>29</v>
      </c>
      <c r="C35" s="161" t="s">
        <v>245</v>
      </c>
      <c r="D35" s="163" t="s">
        <v>246</v>
      </c>
      <c r="E35" s="164" t="s">
        <v>209</v>
      </c>
    </row>
    <row r="36" spans="2:5" s="161" customFormat="1" x14ac:dyDescent="0.25">
      <c r="B36" s="162">
        <f t="shared" ca="1" si="0"/>
        <v>30</v>
      </c>
      <c r="C36" s="161" t="s">
        <v>278</v>
      </c>
      <c r="D36" s="163" t="s">
        <v>279</v>
      </c>
      <c r="E36" s="164" t="s">
        <v>209</v>
      </c>
    </row>
    <row r="37" spans="2:5" s="161" customFormat="1" x14ac:dyDescent="0.25">
      <c r="B37" s="162">
        <f t="shared" ca="1" si="0"/>
        <v>31</v>
      </c>
      <c r="C37" s="161" t="s">
        <v>404</v>
      </c>
      <c r="D37" s="163" t="s">
        <v>241</v>
      </c>
      <c r="E37" s="164" t="s">
        <v>208</v>
      </c>
    </row>
    <row r="38" spans="2:5" s="161" customFormat="1" x14ac:dyDescent="0.25">
      <c r="B38" s="162">
        <f t="shared" ca="1" si="0"/>
        <v>32</v>
      </c>
      <c r="C38" s="161" t="s">
        <v>302</v>
      </c>
      <c r="D38" s="163" t="s">
        <v>303</v>
      </c>
      <c r="E38" s="164" t="s">
        <v>208</v>
      </c>
    </row>
    <row r="39" spans="2:5" s="161" customFormat="1" x14ac:dyDescent="0.25">
      <c r="B39" s="162">
        <f t="shared" ca="1" si="0"/>
        <v>33</v>
      </c>
      <c r="C39" s="161" t="s">
        <v>441</v>
      </c>
      <c r="D39" s="163" t="s">
        <v>442</v>
      </c>
      <c r="E39" s="164" t="s">
        <v>208</v>
      </c>
    </row>
    <row r="40" spans="2:5" s="161" customFormat="1" x14ac:dyDescent="0.25">
      <c r="B40" s="162">
        <f t="shared" ca="1" si="0"/>
        <v>34</v>
      </c>
      <c r="C40" s="161" t="s">
        <v>421</v>
      </c>
      <c r="D40" s="163" t="s">
        <v>422</v>
      </c>
      <c r="E40" s="164" t="s">
        <v>208</v>
      </c>
    </row>
    <row r="41" spans="2:5" s="161" customFormat="1" x14ac:dyDescent="0.25">
      <c r="B41" s="162">
        <f t="shared" ca="1" si="0"/>
        <v>35</v>
      </c>
      <c r="C41" s="161" t="s">
        <v>282</v>
      </c>
      <c r="D41" s="163" t="s">
        <v>283</v>
      </c>
      <c r="E41" s="164" t="s">
        <v>209</v>
      </c>
    </row>
    <row r="42" spans="2:5" s="161" customFormat="1" x14ac:dyDescent="0.25">
      <c r="B42" s="162">
        <f t="shared" ca="1" si="0"/>
        <v>36</v>
      </c>
      <c r="C42" s="161" t="s">
        <v>304</v>
      </c>
      <c r="D42" s="163" t="s">
        <v>305</v>
      </c>
      <c r="E42" s="164" t="s">
        <v>209</v>
      </c>
    </row>
    <row r="43" spans="2:5" s="161" customFormat="1" x14ac:dyDescent="0.25">
      <c r="B43" s="162">
        <f t="shared" ca="1" si="0"/>
        <v>37</v>
      </c>
      <c r="C43" s="161" t="s">
        <v>392</v>
      </c>
      <c r="D43" s="163" t="s">
        <v>393</v>
      </c>
      <c r="E43" s="164" t="s">
        <v>209</v>
      </c>
    </row>
    <row r="44" spans="2:5" s="161" customFormat="1" x14ac:dyDescent="0.25">
      <c r="B44" s="162">
        <f t="shared" ca="1" si="0"/>
        <v>38</v>
      </c>
      <c r="C44" s="161" t="s">
        <v>306</v>
      </c>
      <c r="D44" s="163" t="s">
        <v>307</v>
      </c>
      <c r="E44" s="164" t="s">
        <v>208</v>
      </c>
    </row>
    <row r="45" spans="2:5" s="161" customFormat="1" x14ac:dyDescent="0.25">
      <c r="B45" s="162">
        <f t="shared" ca="1" si="0"/>
        <v>39</v>
      </c>
      <c r="C45" s="161" t="s">
        <v>286</v>
      </c>
      <c r="D45" s="163" t="s">
        <v>287</v>
      </c>
      <c r="E45" s="164" t="s">
        <v>208</v>
      </c>
    </row>
    <row r="46" spans="2:5" s="161" customFormat="1" x14ac:dyDescent="0.25">
      <c r="B46" s="162">
        <f t="shared" ca="1" si="0"/>
        <v>40</v>
      </c>
      <c r="C46" s="161" t="s">
        <v>308</v>
      </c>
      <c r="D46" s="163" t="s">
        <v>309</v>
      </c>
      <c r="E46" s="164" t="s">
        <v>208</v>
      </c>
    </row>
    <row r="47" spans="2:5" s="161" customFormat="1" x14ac:dyDescent="0.25">
      <c r="B47" s="162">
        <f t="shared" ca="1" si="0"/>
        <v>41</v>
      </c>
      <c r="C47" s="161" t="s">
        <v>290</v>
      </c>
      <c r="D47" s="163" t="s">
        <v>291</v>
      </c>
      <c r="E47" s="164" t="s">
        <v>208</v>
      </c>
    </row>
    <row r="48" spans="2:5" s="161" customFormat="1" x14ac:dyDescent="0.25">
      <c r="B48" s="162">
        <f t="shared" ca="1" si="0"/>
        <v>42</v>
      </c>
      <c r="C48" s="161" t="s">
        <v>248</v>
      </c>
      <c r="D48" s="163" t="s">
        <v>249</v>
      </c>
      <c r="E48" s="164" t="s">
        <v>209</v>
      </c>
    </row>
    <row r="49" spans="2:5" s="161" customFormat="1" x14ac:dyDescent="0.25">
      <c r="B49" s="162">
        <f t="shared" ca="1" si="0"/>
        <v>43</v>
      </c>
      <c r="C49" s="161" t="s">
        <v>437</v>
      </c>
      <c r="D49" s="163" t="s">
        <v>438</v>
      </c>
      <c r="E49" s="164" t="s">
        <v>208</v>
      </c>
    </row>
    <row r="50" spans="2:5" s="161" customFormat="1" x14ac:dyDescent="0.25">
      <c r="B50" s="162">
        <f t="shared" ca="1" si="0"/>
        <v>44</v>
      </c>
      <c r="C50" s="161" t="s">
        <v>294</v>
      </c>
      <c r="D50" s="163" t="s">
        <v>295</v>
      </c>
      <c r="E50" s="164" t="s">
        <v>209</v>
      </c>
    </row>
    <row r="51" spans="2:5" s="161" customFormat="1" x14ac:dyDescent="0.25">
      <c r="B51" s="162">
        <f t="shared" ca="1" si="0"/>
        <v>45</v>
      </c>
      <c r="C51" s="161" t="s">
        <v>357</v>
      </c>
      <c r="D51" s="163" t="s">
        <v>358</v>
      </c>
      <c r="E51" s="164" t="s">
        <v>209</v>
      </c>
    </row>
    <row r="52" spans="2:5" s="161" customFormat="1" x14ac:dyDescent="0.25">
      <c r="B52" s="162">
        <f t="shared" ca="1" si="0"/>
        <v>46</v>
      </c>
      <c r="C52" s="161" t="s">
        <v>296</v>
      </c>
      <c r="D52" s="163" t="s">
        <v>297</v>
      </c>
      <c r="E52" s="164" t="s">
        <v>209</v>
      </c>
    </row>
    <row r="53" spans="2:5" s="161" customFormat="1" x14ac:dyDescent="0.25">
      <c r="B53" s="162">
        <f t="shared" ca="1" si="0"/>
        <v>47</v>
      </c>
      <c r="C53" s="161" t="s">
        <v>298</v>
      </c>
      <c r="D53" s="163" t="s">
        <v>299</v>
      </c>
      <c r="E53" s="164" t="s">
        <v>208</v>
      </c>
    </row>
    <row r="54" spans="2:5" s="161" customFormat="1" x14ac:dyDescent="0.25">
      <c r="B54" s="162">
        <f t="shared" ca="1" si="0"/>
        <v>48</v>
      </c>
      <c r="C54" s="161" t="s">
        <v>379</v>
      </c>
      <c r="D54" s="163" t="s">
        <v>385</v>
      </c>
      <c r="E54" s="164" t="s">
        <v>208</v>
      </c>
    </row>
    <row r="55" spans="2:5" s="161" customFormat="1" x14ac:dyDescent="0.25">
      <c r="B55" s="162">
        <f t="shared" ca="1" si="0"/>
        <v>49</v>
      </c>
      <c r="C55" s="161" t="s">
        <v>399</v>
      </c>
      <c r="D55" s="163" t="s">
        <v>400</v>
      </c>
      <c r="E55" s="164" t="s">
        <v>208</v>
      </c>
    </row>
    <row r="56" spans="2:5" s="161" customFormat="1" x14ac:dyDescent="0.25">
      <c r="B56" s="162">
        <f t="shared" ca="1" si="0"/>
        <v>50</v>
      </c>
      <c r="C56" s="161" t="s">
        <v>300</v>
      </c>
      <c r="D56" s="163" t="s">
        <v>301</v>
      </c>
      <c r="E56" s="164" t="s">
        <v>208</v>
      </c>
    </row>
    <row r="57" spans="2:5" s="161" customFormat="1" x14ac:dyDescent="0.25">
      <c r="B57" s="162">
        <f t="shared" ca="1" si="0"/>
        <v>51</v>
      </c>
      <c r="C57" s="161" t="s">
        <v>412</v>
      </c>
      <c r="D57" s="163" t="s">
        <v>469</v>
      </c>
      <c r="E57" s="164" t="s">
        <v>208</v>
      </c>
    </row>
    <row r="58" spans="2:5" s="161" customFormat="1" x14ac:dyDescent="0.25">
      <c r="B58" s="162">
        <f t="shared" ca="1" si="0"/>
        <v>52</v>
      </c>
      <c r="C58" s="161" t="s">
        <v>355</v>
      </c>
      <c r="D58" s="163" t="s">
        <v>356</v>
      </c>
      <c r="E58" s="164" t="s">
        <v>208</v>
      </c>
    </row>
    <row r="59" spans="2:5" s="161" customFormat="1" x14ac:dyDescent="0.25">
      <c r="B59" s="162">
        <f t="shared" ca="1" si="0"/>
        <v>53</v>
      </c>
      <c r="C59" s="161" t="s">
        <v>364</v>
      </c>
      <c r="D59" s="163" t="s">
        <v>365</v>
      </c>
      <c r="E59" s="164" t="s">
        <v>208</v>
      </c>
    </row>
    <row r="60" spans="2:5" s="161" customFormat="1" x14ac:dyDescent="0.25">
      <c r="B60" s="162">
        <f t="shared" ca="1" si="0"/>
        <v>54</v>
      </c>
      <c r="C60" s="161" t="s">
        <v>252</v>
      </c>
      <c r="D60" s="163" t="s">
        <v>253</v>
      </c>
      <c r="E60" s="164" t="s">
        <v>208</v>
      </c>
    </row>
    <row r="61" spans="2:5" s="161" customFormat="1" x14ac:dyDescent="0.25">
      <c r="B61" s="162">
        <f t="shared" ca="1" si="0"/>
        <v>55</v>
      </c>
      <c r="C61" s="161" t="s">
        <v>256</v>
      </c>
      <c r="D61" s="163" t="s">
        <v>257</v>
      </c>
      <c r="E61" s="164" t="s">
        <v>208</v>
      </c>
    </row>
    <row r="62" spans="2:5" s="161" customFormat="1" x14ac:dyDescent="0.25">
      <c r="B62" s="162"/>
      <c r="D62" s="163"/>
      <c r="E62" s="164"/>
    </row>
    <row r="63" spans="2:5" s="161" customFormat="1" x14ac:dyDescent="0.25">
      <c r="B63" s="162">
        <f t="shared" ca="1" si="0"/>
        <v>1</v>
      </c>
      <c r="C63" s="161" t="s">
        <v>470</v>
      </c>
      <c r="D63" s="163" t="s">
        <v>398</v>
      </c>
      <c r="E63" s="164" t="s">
        <v>208</v>
      </c>
    </row>
    <row r="64" spans="2:5" s="161" customFormat="1" x14ac:dyDescent="0.25">
      <c r="B64" s="162">
        <f t="shared" ca="1" si="0"/>
        <v>2</v>
      </c>
      <c r="C64" s="161" t="s">
        <v>264</v>
      </c>
      <c r="D64" s="163" t="s">
        <v>265</v>
      </c>
      <c r="E64" s="164" t="s">
        <v>208</v>
      </c>
    </row>
    <row r="65" spans="2:5" s="161" customFormat="1" x14ac:dyDescent="0.25">
      <c r="B65" s="162">
        <f t="shared" ca="1" si="0"/>
        <v>3</v>
      </c>
      <c r="C65" s="161" t="s">
        <v>381</v>
      </c>
      <c r="D65" s="163" t="s">
        <v>369</v>
      </c>
      <c r="E65" s="164" t="s">
        <v>199</v>
      </c>
    </row>
    <row r="66" spans="2:5" s="161" customFormat="1" x14ac:dyDescent="0.25">
      <c r="B66" s="162">
        <f t="shared" ca="1" si="0"/>
        <v>4</v>
      </c>
      <c r="C66" s="161" t="s">
        <v>292</v>
      </c>
      <c r="D66" s="163" t="s">
        <v>293</v>
      </c>
      <c r="E66" s="164" t="s">
        <v>208</v>
      </c>
    </row>
    <row r="67" spans="2:5" s="161" customFormat="1" x14ac:dyDescent="0.25">
      <c r="B67" s="162">
        <f t="shared" ca="1" si="0"/>
        <v>5</v>
      </c>
      <c r="C67" s="161" t="s">
        <v>418</v>
      </c>
      <c r="D67" s="163" t="s">
        <v>221</v>
      </c>
      <c r="E67" s="164" t="s">
        <v>209</v>
      </c>
    </row>
    <row r="68" spans="2:5" s="161" customFormat="1" x14ac:dyDescent="0.25">
      <c r="B68" s="162">
        <f t="shared" ca="1" si="0"/>
        <v>6</v>
      </c>
      <c r="C68" s="161" t="s">
        <v>310</v>
      </c>
      <c r="D68" s="163" t="s">
        <v>311</v>
      </c>
      <c r="E68" s="164" t="s">
        <v>208</v>
      </c>
    </row>
    <row r="69" spans="2:5" s="161" customFormat="1" x14ac:dyDescent="0.25">
      <c r="B69" s="162"/>
      <c r="D69" s="163"/>
      <c r="E69" s="164"/>
    </row>
    <row r="70" spans="2:5" s="161" customFormat="1" x14ac:dyDescent="0.25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E70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5" ht="18" x14ac:dyDescent="0.25">
      <c r="A1" s="153" t="s">
        <v>602</v>
      </c>
      <c r="C1" s="154"/>
    </row>
    <row r="3" spans="1:5" x14ac:dyDescent="0.25">
      <c r="E3" s="165">
        <v>40543</v>
      </c>
    </row>
    <row r="5" spans="1:5" s="156" customFormat="1" ht="27.6" x14ac:dyDescent="0.25">
      <c r="C5" s="157" t="s">
        <v>217</v>
      </c>
      <c r="D5" s="158" t="s">
        <v>603</v>
      </c>
      <c r="E5" s="159" t="s">
        <v>604</v>
      </c>
    </row>
    <row r="6" spans="1:5" x14ac:dyDescent="0.25">
      <c r="E6" s="160"/>
    </row>
    <row r="7" spans="1:5" s="161" customFormat="1" x14ac:dyDescent="0.25">
      <c r="B7" s="162">
        <f t="shared" ref="B7:B68" ca="1" si="0">OFFSET( B7, -1, 0 ) + 1</f>
        <v>1</v>
      </c>
      <c r="C7" s="161" t="s">
        <v>222</v>
      </c>
      <c r="D7" s="163" t="s">
        <v>223</v>
      </c>
      <c r="E7" s="164" t="s">
        <v>208</v>
      </c>
    </row>
    <row r="8" spans="1:5" s="161" customFormat="1" x14ac:dyDescent="0.25">
      <c r="B8" s="162">
        <f t="shared" ca="1" si="0"/>
        <v>2</v>
      </c>
      <c r="C8" s="161" t="s">
        <v>224</v>
      </c>
      <c r="D8" s="163" t="s">
        <v>225</v>
      </c>
      <c r="E8" s="164" t="s">
        <v>208</v>
      </c>
    </row>
    <row r="9" spans="1:5" s="161" customFormat="1" x14ac:dyDescent="0.25">
      <c r="B9" s="162">
        <f t="shared" ca="1" si="0"/>
        <v>3</v>
      </c>
      <c r="C9" s="161" t="s">
        <v>230</v>
      </c>
      <c r="D9" s="163" t="s">
        <v>231</v>
      </c>
      <c r="E9" s="164" t="s">
        <v>208</v>
      </c>
    </row>
    <row r="10" spans="1:5" s="161" customFormat="1" x14ac:dyDescent="0.25">
      <c r="B10" s="162">
        <f t="shared" ca="1" si="0"/>
        <v>4</v>
      </c>
      <c r="C10" s="161" t="s">
        <v>227</v>
      </c>
      <c r="D10" s="163" t="s">
        <v>228</v>
      </c>
      <c r="E10" s="164" t="s">
        <v>208</v>
      </c>
    </row>
    <row r="11" spans="1:5" s="161" customFormat="1" x14ac:dyDescent="0.25">
      <c r="B11" s="162">
        <f t="shared" ca="1" si="0"/>
        <v>5</v>
      </c>
      <c r="C11" s="161" t="s">
        <v>243</v>
      </c>
      <c r="D11" s="163" t="s">
        <v>244</v>
      </c>
      <c r="E11" s="164" t="s">
        <v>208</v>
      </c>
    </row>
    <row r="12" spans="1:5" s="161" customFormat="1" x14ac:dyDescent="0.25">
      <c r="B12" s="162">
        <f t="shared" ca="1" si="0"/>
        <v>6</v>
      </c>
      <c r="C12" s="161" t="s">
        <v>250</v>
      </c>
      <c r="D12" s="163" t="s">
        <v>251</v>
      </c>
      <c r="E12" s="164" t="s">
        <v>209</v>
      </c>
    </row>
    <row r="13" spans="1:5" s="161" customFormat="1" x14ac:dyDescent="0.25">
      <c r="B13" s="162">
        <f t="shared" ca="1" si="0"/>
        <v>7</v>
      </c>
      <c r="C13" s="161" t="s">
        <v>254</v>
      </c>
      <c r="D13" s="163" t="s">
        <v>255</v>
      </c>
      <c r="E13" s="164" t="s">
        <v>209</v>
      </c>
    </row>
    <row r="14" spans="1:5" s="161" customFormat="1" x14ac:dyDescent="0.25">
      <c r="B14" s="162">
        <f t="shared" ca="1" si="0"/>
        <v>8</v>
      </c>
      <c r="C14" s="161" t="s">
        <v>434</v>
      </c>
      <c r="D14" s="163" t="s">
        <v>435</v>
      </c>
      <c r="E14" s="164" t="s">
        <v>208</v>
      </c>
    </row>
    <row r="15" spans="1:5" s="161" customFormat="1" x14ac:dyDescent="0.25">
      <c r="B15" s="162">
        <f t="shared" ca="1" si="0"/>
        <v>9</v>
      </c>
      <c r="C15" s="161" t="s">
        <v>428</v>
      </c>
      <c r="D15" s="163" t="s">
        <v>463</v>
      </c>
      <c r="E15" s="164" t="s">
        <v>208</v>
      </c>
    </row>
    <row r="16" spans="1:5" s="161" customFormat="1" x14ac:dyDescent="0.25">
      <c r="B16" s="162">
        <f t="shared" ca="1" si="0"/>
        <v>10</v>
      </c>
      <c r="C16" s="161" t="s">
        <v>259</v>
      </c>
      <c r="D16" s="163" t="s">
        <v>388</v>
      </c>
      <c r="E16" s="164" t="s">
        <v>208</v>
      </c>
    </row>
    <row r="17" spans="2:5" s="161" customFormat="1" x14ac:dyDescent="0.25">
      <c r="B17" s="162">
        <f t="shared" ca="1" si="0"/>
        <v>11</v>
      </c>
      <c r="C17" s="161" t="s">
        <v>261</v>
      </c>
      <c r="D17" s="163" t="s">
        <v>262</v>
      </c>
      <c r="E17" s="164" t="s">
        <v>208</v>
      </c>
    </row>
    <row r="18" spans="2:5" s="161" customFormat="1" x14ac:dyDescent="0.25">
      <c r="B18" s="162">
        <f t="shared" ca="1" si="0"/>
        <v>12</v>
      </c>
      <c r="C18" s="161" t="s">
        <v>232</v>
      </c>
      <c r="D18" s="163" t="s">
        <v>233</v>
      </c>
      <c r="E18" s="164" t="s">
        <v>208</v>
      </c>
    </row>
    <row r="19" spans="2:5" s="161" customFormat="1" x14ac:dyDescent="0.25">
      <c r="B19" s="162">
        <f t="shared" ca="1" si="0"/>
        <v>13</v>
      </c>
      <c r="C19" s="161" t="s">
        <v>473</v>
      </c>
      <c r="D19" s="163" t="s">
        <v>462</v>
      </c>
      <c r="E19" s="164" t="s">
        <v>199</v>
      </c>
    </row>
    <row r="20" spans="2:5" s="161" customFormat="1" x14ac:dyDescent="0.25">
      <c r="B20" s="162">
        <f t="shared" ca="1" si="0"/>
        <v>14</v>
      </c>
      <c r="C20" s="161" t="s">
        <v>371</v>
      </c>
      <c r="D20" s="163" t="s">
        <v>199</v>
      </c>
      <c r="E20" s="164" t="s">
        <v>209</v>
      </c>
    </row>
    <row r="21" spans="2:5" s="161" customFormat="1" x14ac:dyDescent="0.25">
      <c r="B21" s="162">
        <f t="shared" ca="1" si="0"/>
        <v>15</v>
      </c>
      <c r="C21" s="161" t="s">
        <v>266</v>
      </c>
      <c r="D21" s="163" t="s">
        <v>267</v>
      </c>
      <c r="E21" s="164" t="s">
        <v>208</v>
      </c>
    </row>
    <row r="22" spans="2:5" s="161" customFormat="1" x14ac:dyDescent="0.25">
      <c r="B22" s="162">
        <f t="shared" ca="1" si="0"/>
        <v>16</v>
      </c>
      <c r="C22" s="161" t="s">
        <v>268</v>
      </c>
      <c r="D22" s="163" t="s">
        <v>269</v>
      </c>
      <c r="E22" s="164" t="s">
        <v>209</v>
      </c>
    </row>
    <row r="23" spans="2:5" s="161" customFormat="1" x14ac:dyDescent="0.25">
      <c r="B23" s="162">
        <f t="shared" ca="1" si="0"/>
        <v>17</v>
      </c>
      <c r="C23" s="161" t="s">
        <v>270</v>
      </c>
      <c r="D23" s="163" t="s">
        <v>271</v>
      </c>
      <c r="E23" s="164" t="s">
        <v>209</v>
      </c>
    </row>
    <row r="24" spans="2:5" s="161" customFormat="1" x14ac:dyDescent="0.25">
      <c r="B24" s="162">
        <f t="shared" ca="1" si="0"/>
        <v>18</v>
      </c>
      <c r="C24" s="161" t="s">
        <v>338</v>
      </c>
      <c r="D24" s="163" t="s">
        <v>341</v>
      </c>
      <c r="E24" s="164" t="s">
        <v>208</v>
      </c>
    </row>
    <row r="25" spans="2:5" s="161" customFormat="1" x14ac:dyDescent="0.25">
      <c r="B25" s="162">
        <f t="shared" ca="1" si="0"/>
        <v>19</v>
      </c>
      <c r="C25" s="161" t="s">
        <v>377</v>
      </c>
      <c r="D25" s="163" t="s">
        <v>378</v>
      </c>
      <c r="E25" s="164" t="s">
        <v>208</v>
      </c>
    </row>
    <row r="26" spans="2:5" s="161" customFormat="1" x14ac:dyDescent="0.25">
      <c r="B26" s="162">
        <f t="shared" ca="1" si="0"/>
        <v>20</v>
      </c>
      <c r="C26" s="161" t="s">
        <v>272</v>
      </c>
      <c r="D26" s="163" t="s">
        <v>273</v>
      </c>
      <c r="E26" s="164" t="s">
        <v>208</v>
      </c>
    </row>
    <row r="27" spans="2:5" s="161" customFormat="1" x14ac:dyDescent="0.25">
      <c r="B27" s="162">
        <f t="shared" ca="1" si="0"/>
        <v>21</v>
      </c>
      <c r="C27" s="161" t="s">
        <v>274</v>
      </c>
      <c r="D27" s="163" t="s">
        <v>275</v>
      </c>
      <c r="E27" s="164" t="s">
        <v>209</v>
      </c>
    </row>
    <row r="28" spans="2:5" s="161" customFormat="1" x14ac:dyDescent="0.25">
      <c r="B28" s="162">
        <f t="shared" ca="1" si="0"/>
        <v>22</v>
      </c>
      <c r="C28" s="161" t="s">
        <v>280</v>
      </c>
      <c r="D28" s="163" t="s">
        <v>281</v>
      </c>
      <c r="E28" s="164" t="s">
        <v>209</v>
      </c>
    </row>
    <row r="29" spans="2:5" s="161" customFormat="1" x14ac:dyDescent="0.25">
      <c r="B29" s="162">
        <f t="shared" ca="1" si="0"/>
        <v>23</v>
      </c>
      <c r="C29" s="161" t="s">
        <v>362</v>
      </c>
      <c r="D29" s="163" t="s">
        <v>363</v>
      </c>
      <c r="E29" s="164" t="s">
        <v>208</v>
      </c>
    </row>
    <row r="30" spans="2:5" s="161" customFormat="1" x14ac:dyDescent="0.25">
      <c r="B30" s="162">
        <f t="shared" ca="1" si="0"/>
        <v>24</v>
      </c>
      <c r="C30" s="161" t="s">
        <v>284</v>
      </c>
      <c r="D30" s="163" t="s">
        <v>285</v>
      </c>
      <c r="E30" s="164" t="s">
        <v>199</v>
      </c>
    </row>
    <row r="31" spans="2:5" s="161" customFormat="1" x14ac:dyDescent="0.25">
      <c r="B31" s="162">
        <f t="shared" ca="1" si="0"/>
        <v>25</v>
      </c>
      <c r="C31" s="161" t="s">
        <v>288</v>
      </c>
      <c r="D31" s="163" t="s">
        <v>289</v>
      </c>
      <c r="E31" s="164" t="s">
        <v>208</v>
      </c>
    </row>
    <row r="32" spans="2:5" s="161" customFormat="1" x14ac:dyDescent="0.25">
      <c r="B32" s="162">
        <f t="shared" ca="1" si="0"/>
        <v>26</v>
      </c>
      <c r="C32" s="161" t="s">
        <v>405</v>
      </c>
      <c r="D32" s="163" t="s">
        <v>406</v>
      </c>
      <c r="E32" s="164" t="s">
        <v>208</v>
      </c>
    </row>
    <row r="33" spans="2:5" s="161" customFormat="1" x14ac:dyDescent="0.25">
      <c r="B33" s="162">
        <f t="shared" ca="1" si="0"/>
        <v>27</v>
      </c>
      <c r="C33" s="161" t="s">
        <v>276</v>
      </c>
      <c r="D33" s="163" t="s">
        <v>277</v>
      </c>
      <c r="E33" s="164" t="s">
        <v>199</v>
      </c>
    </row>
    <row r="34" spans="2:5" s="161" customFormat="1" x14ac:dyDescent="0.25">
      <c r="B34" s="162">
        <f t="shared" ca="1" si="0"/>
        <v>28</v>
      </c>
      <c r="C34" s="161" t="s">
        <v>313</v>
      </c>
      <c r="D34" s="163" t="s">
        <v>471</v>
      </c>
      <c r="E34" s="164" t="s">
        <v>209</v>
      </c>
    </row>
    <row r="35" spans="2:5" s="161" customFormat="1" x14ac:dyDescent="0.25">
      <c r="B35" s="162">
        <f t="shared" ca="1" si="0"/>
        <v>29</v>
      </c>
      <c r="C35" s="161" t="s">
        <v>245</v>
      </c>
      <c r="D35" s="163" t="s">
        <v>246</v>
      </c>
      <c r="E35" s="164" t="s">
        <v>209</v>
      </c>
    </row>
    <row r="36" spans="2:5" s="161" customFormat="1" x14ac:dyDescent="0.25">
      <c r="B36" s="162">
        <f t="shared" ca="1" si="0"/>
        <v>30</v>
      </c>
      <c r="C36" s="161" t="s">
        <v>278</v>
      </c>
      <c r="D36" s="163" t="s">
        <v>279</v>
      </c>
      <c r="E36" s="164" t="s">
        <v>209</v>
      </c>
    </row>
    <row r="37" spans="2:5" s="161" customFormat="1" x14ac:dyDescent="0.25">
      <c r="B37" s="162">
        <f t="shared" ca="1" si="0"/>
        <v>31</v>
      </c>
      <c r="C37" s="161" t="s">
        <v>404</v>
      </c>
      <c r="D37" s="163" t="s">
        <v>241</v>
      </c>
      <c r="E37" s="164" t="s">
        <v>208</v>
      </c>
    </row>
    <row r="38" spans="2:5" s="161" customFormat="1" x14ac:dyDescent="0.25">
      <c r="B38" s="162">
        <f t="shared" ca="1" si="0"/>
        <v>32</v>
      </c>
      <c r="C38" s="161" t="s">
        <v>302</v>
      </c>
      <c r="D38" s="163" t="s">
        <v>303</v>
      </c>
      <c r="E38" s="164" t="s">
        <v>208</v>
      </c>
    </row>
    <row r="39" spans="2:5" s="161" customFormat="1" x14ac:dyDescent="0.25">
      <c r="B39" s="162">
        <f t="shared" ca="1" si="0"/>
        <v>33</v>
      </c>
      <c r="C39" s="161" t="s">
        <v>441</v>
      </c>
      <c r="D39" s="163" t="s">
        <v>442</v>
      </c>
      <c r="E39" s="164" t="s">
        <v>208</v>
      </c>
    </row>
    <row r="40" spans="2:5" s="161" customFormat="1" x14ac:dyDescent="0.25">
      <c r="B40" s="162">
        <f t="shared" ca="1" si="0"/>
        <v>34</v>
      </c>
      <c r="C40" s="161" t="s">
        <v>421</v>
      </c>
      <c r="D40" s="163" t="s">
        <v>422</v>
      </c>
      <c r="E40" s="164" t="s">
        <v>208</v>
      </c>
    </row>
    <row r="41" spans="2:5" s="161" customFormat="1" x14ac:dyDescent="0.25">
      <c r="B41" s="162">
        <f t="shared" ca="1" si="0"/>
        <v>35</v>
      </c>
      <c r="C41" s="161" t="s">
        <v>282</v>
      </c>
      <c r="D41" s="163" t="s">
        <v>283</v>
      </c>
      <c r="E41" s="164" t="s">
        <v>209</v>
      </c>
    </row>
    <row r="42" spans="2:5" s="161" customFormat="1" x14ac:dyDescent="0.25">
      <c r="B42" s="162">
        <f t="shared" ca="1" si="0"/>
        <v>36</v>
      </c>
      <c r="C42" s="161" t="s">
        <v>304</v>
      </c>
      <c r="D42" s="163" t="s">
        <v>305</v>
      </c>
      <c r="E42" s="164" t="s">
        <v>209</v>
      </c>
    </row>
    <row r="43" spans="2:5" s="161" customFormat="1" x14ac:dyDescent="0.25">
      <c r="B43" s="162">
        <f t="shared" ca="1" si="0"/>
        <v>37</v>
      </c>
      <c r="C43" s="161" t="s">
        <v>392</v>
      </c>
      <c r="D43" s="163" t="s">
        <v>393</v>
      </c>
      <c r="E43" s="164" t="s">
        <v>209</v>
      </c>
    </row>
    <row r="44" spans="2:5" s="161" customFormat="1" x14ac:dyDescent="0.25">
      <c r="B44" s="162">
        <f t="shared" ca="1" si="0"/>
        <v>38</v>
      </c>
      <c r="C44" s="161" t="s">
        <v>306</v>
      </c>
      <c r="D44" s="163" t="s">
        <v>307</v>
      </c>
      <c r="E44" s="164" t="s">
        <v>208</v>
      </c>
    </row>
    <row r="45" spans="2:5" s="161" customFormat="1" x14ac:dyDescent="0.25">
      <c r="B45" s="162">
        <f t="shared" ca="1" si="0"/>
        <v>39</v>
      </c>
      <c r="C45" s="161" t="s">
        <v>286</v>
      </c>
      <c r="D45" s="163" t="s">
        <v>287</v>
      </c>
      <c r="E45" s="164" t="s">
        <v>208</v>
      </c>
    </row>
    <row r="46" spans="2:5" s="161" customFormat="1" x14ac:dyDescent="0.25">
      <c r="B46" s="162">
        <f t="shared" ca="1" si="0"/>
        <v>40</v>
      </c>
      <c r="C46" s="161" t="s">
        <v>308</v>
      </c>
      <c r="D46" s="163" t="s">
        <v>309</v>
      </c>
      <c r="E46" s="164" t="s">
        <v>208</v>
      </c>
    </row>
    <row r="47" spans="2:5" s="161" customFormat="1" x14ac:dyDescent="0.25">
      <c r="B47" s="162">
        <f t="shared" ca="1" si="0"/>
        <v>41</v>
      </c>
      <c r="C47" s="161" t="s">
        <v>290</v>
      </c>
      <c r="D47" s="163" t="s">
        <v>291</v>
      </c>
      <c r="E47" s="164" t="s">
        <v>208</v>
      </c>
    </row>
    <row r="48" spans="2:5" s="161" customFormat="1" x14ac:dyDescent="0.25">
      <c r="B48" s="162">
        <f t="shared" ca="1" si="0"/>
        <v>42</v>
      </c>
      <c r="C48" s="161" t="s">
        <v>248</v>
      </c>
      <c r="D48" s="163" t="s">
        <v>249</v>
      </c>
      <c r="E48" s="164" t="s">
        <v>209</v>
      </c>
    </row>
    <row r="49" spans="2:5" s="161" customFormat="1" x14ac:dyDescent="0.25">
      <c r="B49" s="162">
        <f t="shared" ca="1" si="0"/>
        <v>43</v>
      </c>
      <c r="C49" s="161" t="s">
        <v>437</v>
      </c>
      <c r="D49" s="163" t="s">
        <v>438</v>
      </c>
      <c r="E49" s="164" t="s">
        <v>208</v>
      </c>
    </row>
    <row r="50" spans="2:5" s="161" customFormat="1" x14ac:dyDescent="0.25">
      <c r="B50" s="162">
        <f t="shared" ca="1" si="0"/>
        <v>44</v>
      </c>
      <c r="C50" s="161" t="s">
        <v>294</v>
      </c>
      <c r="D50" s="163" t="s">
        <v>295</v>
      </c>
      <c r="E50" s="164" t="s">
        <v>209</v>
      </c>
    </row>
    <row r="51" spans="2:5" s="161" customFormat="1" x14ac:dyDescent="0.25">
      <c r="B51" s="162">
        <f t="shared" ca="1" si="0"/>
        <v>45</v>
      </c>
      <c r="C51" s="161" t="s">
        <v>357</v>
      </c>
      <c r="D51" s="163" t="s">
        <v>358</v>
      </c>
      <c r="E51" s="164" t="s">
        <v>209</v>
      </c>
    </row>
    <row r="52" spans="2:5" s="161" customFormat="1" x14ac:dyDescent="0.25">
      <c r="B52" s="162">
        <f t="shared" ca="1" si="0"/>
        <v>46</v>
      </c>
      <c r="C52" s="161" t="s">
        <v>296</v>
      </c>
      <c r="D52" s="163" t="s">
        <v>297</v>
      </c>
      <c r="E52" s="164" t="s">
        <v>209</v>
      </c>
    </row>
    <row r="53" spans="2:5" s="161" customFormat="1" x14ac:dyDescent="0.25">
      <c r="B53" s="162">
        <f t="shared" ca="1" si="0"/>
        <v>47</v>
      </c>
      <c r="C53" s="161" t="s">
        <v>298</v>
      </c>
      <c r="D53" s="163" t="s">
        <v>299</v>
      </c>
      <c r="E53" s="164" t="s">
        <v>208</v>
      </c>
    </row>
    <row r="54" spans="2:5" s="161" customFormat="1" x14ac:dyDescent="0.25">
      <c r="B54" s="162">
        <f t="shared" ca="1" si="0"/>
        <v>48</v>
      </c>
      <c r="C54" s="161" t="s">
        <v>379</v>
      </c>
      <c r="D54" s="163" t="s">
        <v>385</v>
      </c>
      <c r="E54" s="164" t="s">
        <v>208</v>
      </c>
    </row>
    <row r="55" spans="2:5" s="161" customFormat="1" x14ac:dyDescent="0.25">
      <c r="B55" s="162">
        <f t="shared" ca="1" si="0"/>
        <v>49</v>
      </c>
      <c r="C55" s="161" t="s">
        <v>399</v>
      </c>
      <c r="D55" s="163" t="s">
        <v>400</v>
      </c>
      <c r="E55" s="164" t="s">
        <v>208</v>
      </c>
    </row>
    <row r="56" spans="2:5" s="161" customFormat="1" x14ac:dyDescent="0.25">
      <c r="B56" s="162">
        <f t="shared" ca="1" si="0"/>
        <v>50</v>
      </c>
      <c r="C56" s="161" t="s">
        <v>300</v>
      </c>
      <c r="D56" s="163" t="s">
        <v>301</v>
      </c>
      <c r="E56" s="164" t="s">
        <v>208</v>
      </c>
    </row>
    <row r="57" spans="2:5" s="161" customFormat="1" x14ac:dyDescent="0.25">
      <c r="B57" s="162">
        <f t="shared" ca="1" si="0"/>
        <v>51</v>
      </c>
      <c r="C57" s="161" t="s">
        <v>412</v>
      </c>
      <c r="D57" s="163" t="s">
        <v>469</v>
      </c>
      <c r="E57" s="164" t="s">
        <v>208</v>
      </c>
    </row>
    <row r="58" spans="2:5" s="161" customFormat="1" x14ac:dyDescent="0.25">
      <c r="B58" s="162">
        <f t="shared" ca="1" si="0"/>
        <v>52</v>
      </c>
      <c r="C58" s="161" t="s">
        <v>355</v>
      </c>
      <c r="D58" s="163" t="s">
        <v>356</v>
      </c>
      <c r="E58" s="164" t="s">
        <v>208</v>
      </c>
    </row>
    <row r="59" spans="2:5" s="161" customFormat="1" x14ac:dyDescent="0.25">
      <c r="B59" s="162">
        <f t="shared" ca="1" si="0"/>
        <v>53</v>
      </c>
      <c r="C59" s="161" t="s">
        <v>364</v>
      </c>
      <c r="D59" s="163" t="s">
        <v>365</v>
      </c>
      <c r="E59" s="164" t="s">
        <v>208</v>
      </c>
    </row>
    <row r="60" spans="2:5" s="161" customFormat="1" x14ac:dyDescent="0.25">
      <c r="B60" s="162">
        <f t="shared" ca="1" si="0"/>
        <v>54</v>
      </c>
      <c r="C60" s="161" t="s">
        <v>252</v>
      </c>
      <c r="D60" s="163" t="s">
        <v>253</v>
      </c>
      <c r="E60" s="164" t="s">
        <v>208</v>
      </c>
    </row>
    <row r="61" spans="2:5" s="161" customFormat="1" x14ac:dyDescent="0.25">
      <c r="B61" s="162">
        <f t="shared" ca="1" si="0"/>
        <v>55</v>
      </c>
      <c r="C61" s="161" t="s">
        <v>256</v>
      </c>
      <c r="D61" s="163" t="s">
        <v>257</v>
      </c>
      <c r="E61" s="164" t="s">
        <v>208</v>
      </c>
    </row>
    <row r="62" spans="2:5" s="161" customFormat="1" x14ac:dyDescent="0.25">
      <c r="B62" s="162"/>
      <c r="D62" s="163"/>
      <c r="E62" s="164"/>
    </row>
    <row r="63" spans="2:5" s="161" customFormat="1" x14ac:dyDescent="0.25">
      <c r="B63" s="162">
        <f t="shared" ca="1" si="0"/>
        <v>1</v>
      </c>
      <c r="C63" s="161" t="s">
        <v>612</v>
      </c>
      <c r="D63" s="163" t="s">
        <v>265</v>
      </c>
      <c r="E63" s="164" t="s">
        <v>208</v>
      </c>
    </row>
    <row r="64" spans="2:5" s="161" customFormat="1" x14ac:dyDescent="0.25">
      <c r="B64" s="162">
        <f t="shared" ca="1" si="0"/>
        <v>2</v>
      </c>
      <c r="C64" s="161" t="s">
        <v>613</v>
      </c>
      <c r="D64" s="163" t="s">
        <v>369</v>
      </c>
      <c r="E64" s="164" t="s">
        <v>199</v>
      </c>
    </row>
    <row r="65" spans="2:5" s="161" customFormat="1" x14ac:dyDescent="0.25">
      <c r="B65" s="162">
        <f t="shared" ca="1" si="0"/>
        <v>3</v>
      </c>
      <c r="C65" s="161" t="s">
        <v>614</v>
      </c>
      <c r="D65" s="161" t="s">
        <v>398</v>
      </c>
      <c r="E65" s="164" t="s">
        <v>208</v>
      </c>
    </row>
    <row r="66" spans="2:5" s="161" customFormat="1" x14ac:dyDescent="0.25">
      <c r="B66" s="162">
        <f t="shared" ca="1" si="0"/>
        <v>4</v>
      </c>
      <c r="C66" s="161" t="s">
        <v>615</v>
      </c>
      <c r="D66" s="163" t="s">
        <v>293</v>
      </c>
      <c r="E66" s="164" t="s">
        <v>208</v>
      </c>
    </row>
    <row r="67" spans="2:5" s="161" customFormat="1" x14ac:dyDescent="0.25">
      <c r="B67" s="162">
        <f t="shared" ca="1" si="0"/>
        <v>5</v>
      </c>
      <c r="C67" s="161" t="s">
        <v>616</v>
      </c>
      <c r="D67" s="163" t="s">
        <v>221</v>
      </c>
      <c r="E67" s="164" t="s">
        <v>209</v>
      </c>
    </row>
    <row r="68" spans="2:5" s="161" customFormat="1" x14ac:dyDescent="0.25">
      <c r="B68" s="162">
        <f t="shared" ca="1" si="0"/>
        <v>6</v>
      </c>
      <c r="C68" s="161" t="s">
        <v>617</v>
      </c>
      <c r="D68" s="163" t="s">
        <v>311</v>
      </c>
      <c r="E68" s="164" t="s">
        <v>208</v>
      </c>
    </row>
    <row r="69" spans="2:5" s="161" customFormat="1" x14ac:dyDescent="0.25">
      <c r="B69" s="162"/>
      <c r="D69" s="163"/>
      <c r="E69" s="164"/>
    </row>
    <row r="70" spans="2:5" s="161" customFormat="1" x14ac:dyDescent="0.25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-- 2022 Q1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 ca="1">G2</f>
        <v>Reg_Percent_2021</v>
      </c>
      <c r="G2" s="172" t="s">
        <v>207</v>
      </c>
      <c r="AJ2" s="173" t="str">
        <f ca="1">AJ4 &amp; AJ3</f>
        <v>'Credit_2021Q4'!d:d</v>
      </c>
      <c r="AK2" s="173" t="str">
        <f ca="1">AK4 &amp; AK3</f>
        <v>'Credit_2021Q4'!b1</v>
      </c>
      <c r="AL2" s="173" t="str">
        <f ca="1">AL4 &amp; AL3</f>
        <v>'Credit_2021Q4'!c1</v>
      </c>
      <c r="AQ2" s="169"/>
    </row>
    <row r="3" spans="1:61" ht="18" hidden="1" outlineLevel="1" x14ac:dyDescent="0.25">
      <c r="A3" s="167"/>
      <c r="E3" s="174" t="str">
        <f ca="1">"'" &amp; E2 &amp; "'!"</f>
        <v>'Reg_Percent_2021'!</v>
      </c>
      <c r="G3" s="168" t="str">
        <f ca="1">"'" &amp; G2 &amp; "'!"</f>
        <v>'Reg_Percent_2021'!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 ca="1">$AQ$5</f>
        <v>'Credit_2021Q4'!</v>
      </c>
      <c r="AK4" s="169" t="str">
        <f t="shared" ref="AK4:AL4" ca="1" si="0">$AQ$5</f>
        <v>'Credit_2021Q4'!</v>
      </c>
      <c r="AL4" s="169" t="str">
        <f t="shared" ca="1" si="0"/>
        <v>'Credit_2021Q4'!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 ca="1"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(36)</v>
      </c>
      <c r="P5" s="376"/>
      <c r="Q5" s="230"/>
      <c r="R5" s="372" t="str">
        <f ca="1">"Mostly Regulated" &amp; CHAR( 10 ) &amp; "(" &amp; R14 &amp; ")"</f>
        <v>Mostly Regulated
(8)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322</v>
      </c>
    </row>
    <row r="6" spans="1:61" ht="28.5" customHeight="1" x14ac:dyDescent="0.25">
      <c r="A6" s="219" t="s">
        <v>217</v>
      </c>
      <c r="B6" s="220" t="s">
        <v>323</v>
      </c>
      <c r="C6" s="249" t="s">
        <v>219</v>
      </c>
      <c r="D6" s="221"/>
      <c r="E6" s="222">
        <f ca="1">INDIRECT( E3 &amp; G1 )</f>
        <v>44561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248</v>
      </c>
      <c r="B14" s="224" t="s">
        <v>144</v>
      </c>
      <c r="C14" s="224">
        <v>20</v>
      </c>
      <c r="D14" s="224" t="s">
        <v>249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149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3.8" x14ac:dyDescent="0.2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3.8" x14ac:dyDescent="0.2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258</v>
      </c>
      <c r="K16" s="232"/>
      <c r="L16" s="369">
        <f t="array" aca="1" ref="L16" ca="1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18.75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3.8" x14ac:dyDescent="0.25">
      <c r="A17" s="223" t="s">
        <v>230</v>
      </c>
      <c r="B17" s="224" t="s">
        <v>145</v>
      </c>
      <c r="C17" s="224">
        <v>19</v>
      </c>
      <c r="D17" s="224" t="s">
        <v>231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3.8" x14ac:dyDescent="0.25">
      <c r="A18" s="223" t="s">
        <v>238</v>
      </c>
      <c r="B18" s="224" t="s">
        <v>145</v>
      </c>
      <c r="C18" s="224">
        <v>19</v>
      </c>
      <c r="D18" s="224" t="s">
        <v>239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3.8" x14ac:dyDescent="0.25">
      <c r="A19" s="223" t="s">
        <v>250</v>
      </c>
      <c r="B19" s="224" t="s">
        <v>145</v>
      </c>
      <c r="C19" s="224">
        <v>19</v>
      </c>
      <c r="D19" s="224" t="s">
        <v>251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3.8" x14ac:dyDescent="0.2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3.8" x14ac:dyDescent="0.25">
      <c r="A21" s="223" t="s">
        <v>261</v>
      </c>
      <c r="B21" s="224" t="s">
        <v>145</v>
      </c>
      <c r="C21" s="224">
        <v>19</v>
      </c>
      <c r="D21" s="224" t="s">
        <v>262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3.8" x14ac:dyDescent="0.25">
      <c r="A22" s="223" t="s">
        <v>263</v>
      </c>
      <c r="B22" s="224" t="s">
        <v>145</v>
      </c>
      <c r="C22" s="224">
        <v>19</v>
      </c>
      <c r="D22" s="224" t="s">
        <v>199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3.8" x14ac:dyDescent="0.2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3.8" x14ac:dyDescent="0.2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3.8" x14ac:dyDescent="0.25">
      <c r="A25" s="223" t="s">
        <v>272</v>
      </c>
      <c r="B25" s="224" t="s">
        <v>145</v>
      </c>
      <c r="C25" s="224">
        <v>19</v>
      </c>
      <c r="D25" s="224" t="s">
        <v>273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3.8" x14ac:dyDescent="0.25">
      <c r="A26" s="223" t="s">
        <v>274</v>
      </c>
      <c r="B26" s="224" t="s">
        <v>145</v>
      </c>
      <c r="C26" s="224">
        <v>19</v>
      </c>
      <c r="D26" s="224" t="s">
        <v>275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3.8" x14ac:dyDescent="0.25">
      <c r="A27" s="223" t="s">
        <v>276</v>
      </c>
      <c r="B27" s="224" t="s">
        <v>145</v>
      </c>
      <c r="C27" s="224">
        <v>19</v>
      </c>
      <c r="D27" s="224" t="s">
        <v>277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3.8" x14ac:dyDescent="0.25">
      <c r="A28" s="223" t="s">
        <v>278</v>
      </c>
      <c r="B28" s="224" t="s">
        <v>145</v>
      </c>
      <c r="C28" s="224">
        <v>19</v>
      </c>
      <c r="D28" s="224" t="s">
        <v>279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3.8" x14ac:dyDescent="0.25">
      <c r="A29" s="223" t="s">
        <v>282</v>
      </c>
      <c r="B29" s="224" t="s">
        <v>145</v>
      </c>
      <c r="C29" s="224">
        <v>19</v>
      </c>
      <c r="D29" s="224" t="s">
        <v>283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3.8" x14ac:dyDescent="0.25">
      <c r="A30" s="223" t="s">
        <v>286</v>
      </c>
      <c r="B30" s="224" t="s">
        <v>145</v>
      </c>
      <c r="C30" s="224">
        <v>19</v>
      </c>
      <c r="D30" s="224" t="s">
        <v>287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3.8" x14ac:dyDescent="0.25">
      <c r="A31" s="223" t="s">
        <v>290</v>
      </c>
      <c r="B31" s="224" t="s">
        <v>145</v>
      </c>
      <c r="C31" s="224">
        <v>19</v>
      </c>
      <c r="D31" s="224" t="s">
        <v>291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3.8" x14ac:dyDescent="0.2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3.8" x14ac:dyDescent="0.2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3.8" x14ac:dyDescent="0.25">
      <c r="A34" s="223" t="s">
        <v>298</v>
      </c>
      <c r="B34" s="224" t="s">
        <v>145</v>
      </c>
      <c r="C34" s="224">
        <v>19</v>
      </c>
      <c r="D34" s="224" t="s">
        <v>299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145</v>
      </c>
      <c r="AS39" s="207">
        <v>19</v>
      </c>
      <c r="AT39" s="207" t="s">
        <v>287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280</v>
      </c>
      <c r="B45" s="224" t="s">
        <v>147</v>
      </c>
      <c r="C45" s="224">
        <v>17</v>
      </c>
      <c r="D45" s="224" t="s">
        <v>281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3.8" x14ac:dyDescent="0.2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145</v>
      </c>
      <c r="AS46" s="207">
        <v>19</v>
      </c>
      <c r="AT46" s="207" t="s">
        <v>299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8" x14ac:dyDescent="0.2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8" x14ac:dyDescent="0.25">
      <c r="A48" s="223" t="s">
        <v>264</v>
      </c>
      <c r="B48" s="224" t="s">
        <v>178</v>
      </c>
      <c r="C48" s="224">
        <v>16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3.8" x14ac:dyDescent="0.2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59" priority="31" stopIfTrue="1">
      <formula>IF( $AH7 = 1, TRUE, FALSE )</formula>
    </cfRule>
    <cfRule type="expression" dxfId="1558" priority="32" stopIfTrue="1">
      <formula>IF( $AG7 = 1, TRUE, FALSE )</formula>
    </cfRule>
    <cfRule type="expression" dxfId="1557" priority="33" stopIfTrue="1">
      <formula>IF( $AF7 = 1, TRUE, FALSE )</formula>
    </cfRule>
  </conditionalFormatting>
  <conditionalFormatting sqref="A67:E67">
    <cfRule type="expression" dxfId="1556" priority="34" stopIfTrue="1">
      <formula>IF( $AH67 = 1, TRUE, FALSE )</formula>
    </cfRule>
    <cfRule type="expression" dxfId="1555" priority="35" stopIfTrue="1">
      <formula>IF( $AG67 = 1, TRUE, FALSE )</formula>
    </cfRule>
    <cfRule type="expression" dxfId="1554" priority="36" stopIfTrue="1">
      <formula>IF( $AF67 = 1, TRUE, FALSE )</formula>
    </cfRule>
  </conditionalFormatting>
  <conditionalFormatting sqref="A66:E66">
    <cfRule type="expression" dxfId="1553" priority="28" stopIfTrue="1">
      <formula>IF( $AH66 = 1, TRUE, FALSE )</formula>
    </cfRule>
    <cfRule type="expression" dxfId="1552" priority="29" stopIfTrue="1">
      <formula>IF( $AG66 = 1, TRUE, FALSE )</formula>
    </cfRule>
    <cfRule type="expression" dxfId="1551" priority="30" stopIfTrue="1">
      <formula>IF( $AF66 = 1, TRUE, FALSE )</formula>
    </cfRule>
  </conditionalFormatting>
  <conditionalFormatting sqref="A8:D33 B7:D7 A35:D58">
    <cfRule type="expression" dxfId="1550" priority="25" stopIfTrue="1">
      <formula>IF( $AH7 = 1, TRUE, FALSE )</formula>
    </cfRule>
    <cfRule type="expression" dxfId="1549" priority="26" stopIfTrue="1">
      <formula>IF( $AG7 = 1, TRUE, FALSE )</formula>
    </cfRule>
    <cfRule type="expression" dxfId="1548" priority="27" stopIfTrue="1">
      <formula>IF( $AF7 = 1, TRUE, FALSE )</formula>
    </cfRule>
  </conditionalFormatting>
  <conditionalFormatting sqref="A59:D59">
    <cfRule type="expression" dxfId="1547" priority="22" stopIfTrue="1">
      <formula>IF( $AH59 = 1, TRUE, FALSE )</formula>
    </cfRule>
    <cfRule type="expression" dxfId="1546" priority="23" stopIfTrue="1">
      <formula>IF( $AG59 = 1, TRUE, FALSE )</formula>
    </cfRule>
    <cfRule type="expression" dxfId="1545" priority="24" stopIfTrue="1">
      <formula>IF( $AF59 = 1, TRUE, FALSE )</formula>
    </cfRule>
  </conditionalFormatting>
  <conditionalFormatting sqref="A61:D65">
    <cfRule type="expression" dxfId="1544" priority="19" stopIfTrue="1">
      <formula>IF( $AH61 = 1, TRUE, FALSE )</formula>
    </cfRule>
    <cfRule type="expression" dxfId="1543" priority="20" stopIfTrue="1">
      <formula>IF( $AG61 = 1, TRUE, FALSE )</formula>
    </cfRule>
    <cfRule type="expression" dxfId="1542" priority="21" stopIfTrue="1">
      <formula>IF( $AF61 = 1, TRUE, FALSE )</formula>
    </cfRule>
  </conditionalFormatting>
  <conditionalFormatting sqref="U8:U12">
    <cfRule type="cellIs" dxfId="1541" priority="18" operator="equal">
      <formula>0</formula>
    </cfRule>
  </conditionalFormatting>
  <conditionalFormatting sqref="O8:O12 Q8:Q12">
    <cfRule type="cellIs" dxfId="1540" priority="17" operator="equal">
      <formula>0</formula>
    </cfRule>
  </conditionalFormatting>
  <conditionalFormatting sqref="V8:V12">
    <cfRule type="cellIs" dxfId="1539" priority="16" operator="equal">
      <formula>0</formula>
    </cfRule>
  </conditionalFormatting>
  <conditionalFormatting sqref="S8:S12">
    <cfRule type="cellIs" dxfId="1538" priority="14" operator="equal">
      <formula>0</formula>
    </cfRule>
  </conditionalFormatting>
  <conditionalFormatting sqref="R8:R12">
    <cfRule type="cellIs" dxfId="1537" priority="15" operator="equal">
      <formula>0</formula>
    </cfRule>
  </conditionalFormatting>
  <conditionalFormatting sqref="P8:P12">
    <cfRule type="cellIs" dxfId="1536" priority="13" operator="equal">
      <formula>0</formula>
    </cfRule>
  </conditionalFormatting>
  <conditionalFormatting sqref="M8:M12">
    <cfRule type="cellIs" dxfId="1535" priority="12" operator="equal">
      <formula>0</formula>
    </cfRule>
  </conditionalFormatting>
  <conditionalFormatting sqref="T8:T12">
    <cfRule type="cellIs" dxfId="1534" priority="11" operator="equal">
      <formula>0</formula>
    </cfRule>
  </conditionalFormatting>
  <conditionalFormatting sqref="N8:N12">
    <cfRule type="cellIs" dxfId="1533" priority="10" operator="equal">
      <formula>0</formula>
    </cfRule>
  </conditionalFormatting>
  <conditionalFormatting sqref="K8:K12">
    <cfRule type="cellIs" dxfId="1532" priority="9" operator="equal">
      <formula>0</formula>
    </cfRule>
  </conditionalFormatting>
  <conditionalFormatting sqref="I8:I12">
    <cfRule type="cellIs" dxfId="1531" priority="8" operator="equal">
      <formula>0</formula>
    </cfRule>
  </conditionalFormatting>
  <conditionalFormatting sqref="W8:W12">
    <cfRule type="cellIs" dxfId="1530" priority="7" operator="equal">
      <formula>0</formula>
    </cfRule>
  </conditionalFormatting>
  <conditionalFormatting sqref="A7">
    <cfRule type="expression" dxfId="1529" priority="4" stopIfTrue="1">
      <formula>IF( $AH7 = 1, TRUE, FALSE )</formula>
    </cfRule>
    <cfRule type="expression" dxfId="1528" priority="5" stopIfTrue="1">
      <formula>IF( $AG7 = 1, TRUE, FALSE )</formula>
    </cfRule>
    <cfRule type="expression" dxfId="1527" priority="6" stopIfTrue="1">
      <formula>IF( $AF7 = 1, TRUE, FALSE )</formula>
    </cfRule>
  </conditionalFormatting>
  <conditionalFormatting sqref="A34:D34">
    <cfRule type="expression" dxfId="1526" priority="1" stopIfTrue="1">
      <formula>IF( $AH34 = 1, TRUE, FALSE )</formula>
    </cfRule>
    <cfRule type="expression" dxfId="1525" priority="2" stopIfTrue="1">
      <formula>IF( $AG34 = 1, TRUE, FALSE )</formula>
    </cfRule>
    <cfRule type="expression" dxfId="152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3:N30"/>
  <sheetViews>
    <sheetView zoomScale="80" zoomScaleNormal="80" workbookViewId="0"/>
  </sheetViews>
  <sheetFormatPr defaultColWidth="9.109375" defaultRowHeight="13.2" x14ac:dyDescent="0.25"/>
  <cols>
    <col min="1" max="2" width="9.109375" style="239"/>
    <col min="3" max="3" width="5.88671875" style="241" customWidth="1"/>
    <col min="4" max="4" width="9.109375" style="241"/>
    <col min="5" max="5" width="25.44140625" style="241" customWidth="1"/>
    <col min="6" max="6" width="9.109375" style="239"/>
    <col min="7" max="8" width="5.88671875" style="241" customWidth="1"/>
    <col min="9" max="9" width="9.109375" style="241"/>
    <col min="10" max="10" width="25.44140625" style="241" customWidth="1"/>
    <col min="11" max="11" width="9.109375" style="239"/>
    <col min="12" max="12" width="5.88671875" style="241" customWidth="1"/>
    <col min="13" max="13" width="9.109375" style="241"/>
    <col min="14" max="14" width="25.44140625" style="239" customWidth="1"/>
    <col min="15" max="16384" width="9.109375" style="239"/>
  </cols>
  <sheetData>
    <row r="3" spans="3:14" x14ac:dyDescent="0.25">
      <c r="C3" s="377" t="s">
        <v>618</v>
      </c>
      <c r="D3" s="378"/>
      <c r="E3" s="378"/>
      <c r="G3" s="377" t="s">
        <v>158</v>
      </c>
      <c r="H3" s="378"/>
      <c r="I3" s="378"/>
      <c r="J3" s="378"/>
      <c r="L3" s="377" t="s">
        <v>112</v>
      </c>
      <c r="M3" s="378"/>
      <c r="N3" s="378"/>
    </row>
    <row r="5" spans="3:14" x14ac:dyDescent="0.25">
      <c r="C5" s="245"/>
      <c r="G5" s="245"/>
      <c r="H5" s="246">
        <v>1</v>
      </c>
      <c r="I5" s="240" t="s">
        <v>208</v>
      </c>
      <c r="J5" s="247" t="s">
        <v>619</v>
      </c>
      <c r="L5" s="246">
        <v>1</v>
      </c>
      <c r="M5" s="240" t="s">
        <v>620</v>
      </c>
      <c r="N5" s="247" t="s">
        <v>621</v>
      </c>
    </row>
    <row r="6" spans="3:14" x14ac:dyDescent="0.25">
      <c r="C6" s="246"/>
      <c r="G6" s="246"/>
      <c r="H6" s="246">
        <v>2</v>
      </c>
      <c r="I6" s="243" t="s">
        <v>431</v>
      </c>
      <c r="L6" s="246">
        <v>2</v>
      </c>
      <c r="M6" s="243" t="s">
        <v>199</v>
      </c>
    </row>
    <row r="7" spans="3:14" x14ac:dyDescent="0.25">
      <c r="C7" s="246"/>
      <c r="G7" s="246"/>
      <c r="H7" s="246">
        <v>3</v>
      </c>
      <c r="I7" s="243" t="s">
        <v>199</v>
      </c>
      <c r="L7" s="246">
        <v>3</v>
      </c>
      <c r="M7" s="243" t="s">
        <v>622</v>
      </c>
    </row>
    <row r="8" spans="3:14" x14ac:dyDescent="0.25">
      <c r="C8" s="246"/>
      <c r="G8" s="246"/>
      <c r="H8" s="246">
        <v>4</v>
      </c>
      <c r="I8" s="244" t="s">
        <v>623</v>
      </c>
      <c r="J8" s="242"/>
      <c r="L8" s="246">
        <v>4</v>
      </c>
      <c r="M8" s="243" t="s">
        <v>624</v>
      </c>
    </row>
    <row r="9" spans="3:14" x14ac:dyDescent="0.25">
      <c r="C9" s="246">
        <v>1</v>
      </c>
      <c r="D9" s="240" t="s">
        <v>197</v>
      </c>
      <c r="E9" s="247" t="s">
        <v>625</v>
      </c>
      <c r="G9" s="246">
        <v>1</v>
      </c>
      <c r="H9" s="246">
        <v>5</v>
      </c>
      <c r="I9" s="243" t="s">
        <v>197</v>
      </c>
      <c r="J9" s="247" t="s">
        <v>626</v>
      </c>
      <c r="L9" s="246">
        <v>5</v>
      </c>
      <c r="M9" s="243" t="s">
        <v>196</v>
      </c>
    </row>
    <row r="10" spans="3:14" x14ac:dyDescent="0.25">
      <c r="C10" s="246">
        <v>2</v>
      </c>
      <c r="D10" s="243" t="s">
        <v>195</v>
      </c>
      <c r="G10" s="246">
        <v>2</v>
      </c>
      <c r="H10" s="246">
        <v>6</v>
      </c>
      <c r="I10" s="243" t="s">
        <v>627</v>
      </c>
      <c r="L10" s="246">
        <v>6</v>
      </c>
      <c r="M10" s="243" t="s">
        <v>194</v>
      </c>
    </row>
    <row r="11" spans="3:14" x14ac:dyDescent="0.25">
      <c r="C11" s="246">
        <v>3</v>
      </c>
      <c r="D11" s="243" t="s">
        <v>193</v>
      </c>
      <c r="G11" s="246">
        <v>3</v>
      </c>
      <c r="H11" s="246">
        <v>7</v>
      </c>
      <c r="I11" s="243" t="s">
        <v>196</v>
      </c>
      <c r="L11" s="246">
        <v>7</v>
      </c>
      <c r="M11" s="243" t="s">
        <v>192</v>
      </c>
    </row>
    <row r="12" spans="3:14" x14ac:dyDescent="0.25">
      <c r="C12" s="246">
        <v>4</v>
      </c>
      <c r="D12" s="243" t="s">
        <v>191</v>
      </c>
      <c r="G12" s="246">
        <v>4</v>
      </c>
      <c r="H12" s="246">
        <v>8</v>
      </c>
      <c r="I12" s="243" t="s">
        <v>194</v>
      </c>
      <c r="L12" s="246">
        <v>8</v>
      </c>
      <c r="M12" s="243" t="s">
        <v>190</v>
      </c>
    </row>
    <row r="13" spans="3:14" x14ac:dyDescent="0.25">
      <c r="C13" s="246">
        <v>5</v>
      </c>
      <c r="D13" s="243" t="s">
        <v>189</v>
      </c>
      <c r="G13" s="246">
        <v>5</v>
      </c>
      <c r="H13" s="246">
        <v>9</v>
      </c>
      <c r="I13" s="243" t="s">
        <v>192</v>
      </c>
      <c r="L13" s="246">
        <v>9</v>
      </c>
      <c r="M13" s="243" t="s">
        <v>188</v>
      </c>
    </row>
    <row r="14" spans="3:14" x14ac:dyDescent="0.25">
      <c r="C14" s="246">
        <v>6</v>
      </c>
      <c r="D14" s="243" t="s">
        <v>187</v>
      </c>
      <c r="G14" s="246">
        <v>6</v>
      </c>
      <c r="H14" s="246">
        <v>10</v>
      </c>
      <c r="I14" s="243" t="s">
        <v>190</v>
      </c>
      <c r="L14" s="246">
        <v>10</v>
      </c>
      <c r="M14" s="243" t="s">
        <v>186</v>
      </c>
    </row>
    <row r="15" spans="3:14" x14ac:dyDescent="0.25">
      <c r="C15" s="246">
        <v>7</v>
      </c>
      <c r="D15" s="243" t="s">
        <v>185</v>
      </c>
      <c r="G15" s="246">
        <v>7</v>
      </c>
      <c r="H15" s="246">
        <v>11</v>
      </c>
      <c r="I15" s="243" t="s">
        <v>188</v>
      </c>
      <c r="L15" s="246">
        <v>11</v>
      </c>
      <c r="M15" s="243" t="s">
        <v>184</v>
      </c>
    </row>
    <row r="16" spans="3:14" x14ac:dyDescent="0.25">
      <c r="C16" s="246">
        <v>8</v>
      </c>
      <c r="D16" s="243" t="s">
        <v>183</v>
      </c>
      <c r="G16" s="246">
        <v>8</v>
      </c>
      <c r="H16" s="246">
        <v>12</v>
      </c>
      <c r="I16" s="243" t="s">
        <v>186</v>
      </c>
      <c r="L16" s="246">
        <v>12</v>
      </c>
      <c r="M16" s="243" t="s">
        <v>182</v>
      </c>
    </row>
    <row r="17" spans="3:13" x14ac:dyDescent="0.25">
      <c r="C17" s="246">
        <v>9</v>
      </c>
      <c r="D17" s="243" t="s">
        <v>181</v>
      </c>
      <c r="G17" s="246">
        <v>9</v>
      </c>
      <c r="H17" s="246">
        <v>13</v>
      </c>
      <c r="I17" s="243" t="s">
        <v>184</v>
      </c>
      <c r="L17" s="246">
        <v>13</v>
      </c>
      <c r="M17" s="243" t="s">
        <v>180</v>
      </c>
    </row>
    <row r="18" spans="3:13" x14ac:dyDescent="0.25">
      <c r="C18" s="246">
        <v>10</v>
      </c>
      <c r="D18" s="243" t="s">
        <v>179</v>
      </c>
      <c r="G18" s="246">
        <v>10</v>
      </c>
      <c r="H18" s="246">
        <v>14</v>
      </c>
      <c r="I18" s="243" t="s">
        <v>182</v>
      </c>
      <c r="L18" s="246">
        <v>14</v>
      </c>
      <c r="M18" s="243" t="s">
        <v>178</v>
      </c>
    </row>
    <row r="19" spans="3:13" x14ac:dyDescent="0.25">
      <c r="C19" s="246">
        <v>11</v>
      </c>
      <c r="D19" s="243" t="s">
        <v>177</v>
      </c>
      <c r="G19" s="246">
        <v>11</v>
      </c>
      <c r="H19" s="246">
        <v>15</v>
      </c>
      <c r="I19" s="243" t="s">
        <v>180</v>
      </c>
      <c r="L19" s="246">
        <v>15</v>
      </c>
      <c r="M19" s="243" t="s">
        <v>147</v>
      </c>
    </row>
    <row r="20" spans="3:13" x14ac:dyDescent="0.25">
      <c r="C20" s="246">
        <v>12</v>
      </c>
      <c r="D20" s="243" t="s">
        <v>175</v>
      </c>
      <c r="G20" s="246">
        <v>12</v>
      </c>
      <c r="H20" s="246">
        <v>16</v>
      </c>
      <c r="I20" s="243" t="s">
        <v>178</v>
      </c>
      <c r="L20" s="246">
        <v>16</v>
      </c>
      <c r="M20" s="243" t="s">
        <v>146</v>
      </c>
    </row>
    <row r="21" spans="3:13" x14ac:dyDescent="0.25">
      <c r="C21" s="246">
        <v>13</v>
      </c>
      <c r="D21" s="243" t="s">
        <v>174</v>
      </c>
      <c r="G21" s="246">
        <v>13</v>
      </c>
      <c r="H21" s="246">
        <v>17</v>
      </c>
      <c r="I21" s="243" t="s">
        <v>147</v>
      </c>
      <c r="L21" s="246">
        <v>17</v>
      </c>
      <c r="M21" s="243" t="s">
        <v>145</v>
      </c>
    </row>
    <row r="22" spans="3:13" x14ac:dyDescent="0.25">
      <c r="C22" s="246">
        <v>14</v>
      </c>
      <c r="D22" s="243" t="s">
        <v>173</v>
      </c>
      <c r="G22" s="246">
        <v>14</v>
      </c>
      <c r="H22" s="246">
        <v>18</v>
      </c>
      <c r="I22" s="243" t="s">
        <v>146</v>
      </c>
      <c r="L22" s="246">
        <v>18</v>
      </c>
      <c r="M22" s="243" t="s">
        <v>144</v>
      </c>
    </row>
    <row r="23" spans="3:13" x14ac:dyDescent="0.25">
      <c r="C23" s="246">
        <v>15</v>
      </c>
      <c r="D23" s="243" t="s">
        <v>172</v>
      </c>
      <c r="G23" s="246">
        <v>15</v>
      </c>
      <c r="H23" s="246">
        <v>19</v>
      </c>
      <c r="I23" s="243" t="s">
        <v>145</v>
      </c>
      <c r="L23" s="246">
        <v>19</v>
      </c>
      <c r="M23" s="243" t="s">
        <v>171</v>
      </c>
    </row>
    <row r="24" spans="3:13" x14ac:dyDescent="0.25">
      <c r="C24" s="246">
        <v>16</v>
      </c>
      <c r="D24" s="243" t="s">
        <v>170</v>
      </c>
      <c r="G24" s="246">
        <v>16</v>
      </c>
      <c r="H24" s="246">
        <v>20</v>
      </c>
      <c r="I24" s="243" t="s">
        <v>144</v>
      </c>
      <c r="L24" s="246">
        <v>20</v>
      </c>
      <c r="M24" s="243" t="s">
        <v>169</v>
      </c>
    </row>
    <row r="25" spans="3:13" x14ac:dyDescent="0.25">
      <c r="C25" s="246">
        <v>17</v>
      </c>
      <c r="D25" s="243" t="s">
        <v>168</v>
      </c>
      <c r="G25" s="246">
        <v>17</v>
      </c>
      <c r="H25" s="246">
        <v>21</v>
      </c>
      <c r="I25" s="243" t="s">
        <v>171</v>
      </c>
      <c r="L25" s="246">
        <v>21</v>
      </c>
      <c r="M25" s="243" t="s">
        <v>167</v>
      </c>
    </row>
    <row r="26" spans="3:13" x14ac:dyDescent="0.25">
      <c r="C26" s="246">
        <v>18</v>
      </c>
      <c r="D26" s="243" t="s">
        <v>166</v>
      </c>
      <c r="G26" s="246">
        <v>18</v>
      </c>
      <c r="H26" s="246">
        <v>22</v>
      </c>
      <c r="I26" s="243" t="s">
        <v>169</v>
      </c>
      <c r="L26" s="246">
        <v>22</v>
      </c>
      <c r="M26" s="243" t="s">
        <v>165</v>
      </c>
    </row>
    <row r="27" spans="3:13" x14ac:dyDescent="0.25">
      <c r="C27" s="246">
        <v>19</v>
      </c>
      <c r="D27" s="243" t="s">
        <v>164</v>
      </c>
      <c r="G27" s="246">
        <v>19</v>
      </c>
      <c r="H27" s="246">
        <v>23</v>
      </c>
      <c r="I27" s="243" t="s">
        <v>167</v>
      </c>
      <c r="L27" s="246">
        <v>23</v>
      </c>
      <c r="M27" s="243" t="s">
        <v>163</v>
      </c>
    </row>
    <row r="28" spans="3:13" x14ac:dyDescent="0.25">
      <c r="C28" s="246">
        <v>20</v>
      </c>
      <c r="D28" s="243" t="s">
        <v>162</v>
      </c>
      <c r="G28" s="246">
        <v>20</v>
      </c>
      <c r="H28" s="246">
        <v>24</v>
      </c>
      <c r="I28" s="243" t="s">
        <v>165</v>
      </c>
      <c r="L28" s="246">
        <v>24</v>
      </c>
      <c r="M28" s="243" t="s">
        <v>161</v>
      </c>
    </row>
    <row r="29" spans="3:13" x14ac:dyDescent="0.25">
      <c r="C29" s="246">
        <v>21</v>
      </c>
      <c r="D29" s="244" t="s">
        <v>160</v>
      </c>
      <c r="G29" s="246">
        <v>21</v>
      </c>
      <c r="H29" s="246">
        <v>25</v>
      </c>
      <c r="I29" s="243" t="s">
        <v>163</v>
      </c>
      <c r="L29" s="246"/>
      <c r="M29" s="243"/>
    </row>
    <row r="30" spans="3:13" x14ac:dyDescent="0.25">
      <c r="C30" s="246"/>
      <c r="G30" s="246">
        <v>22</v>
      </c>
      <c r="H30" s="246">
        <v>26</v>
      </c>
      <c r="I30" s="244" t="s">
        <v>161</v>
      </c>
      <c r="L30" s="246"/>
      <c r="M30" s="244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-- 2021 Q4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 ca="1">G2</f>
        <v>Reg_Percent_2020</v>
      </c>
      <c r="G2" s="172" t="s">
        <v>324</v>
      </c>
      <c r="AJ2" s="173" t="str">
        <f ca="1">AJ4 &amp; AJ3</f>
        <v>'Credit_2021Q3'!d:d</v>
      </c>
      <c r="AK2" s="173" t="str">
        <f ca="1">AK4 &amp; AK3</f>
        <v>'Credit_2021Q3'!b1</v>
      </c>
      <c r="AL2" s="173" t="str">
        <f ca="1">AL4 &amp; AL3</f>
        <v>'Credit_2021Q3'!c1</v>
      </c>
      <c r="AQ2" s="169"/>
    </row>
    <row r="3" spans="1:61" ht="18" hidden="1" outlineLevel="1" x14ac:dyDescent="0.25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 ca="1">$AQ$5</f>
        <v>'Credit_2021Q3'!</v>
      </c>
      <c r="AK4" s="169" t="str">
        <f t="shared" ref="AK4:AL4" ca="1" si="0">$AQ$5</f>
        <v>'Credit_2021Q3'!</v>
      </c>
      <c r="AL4" s="169" t="str">
        <f t="shared" ca="1" si="0"/>
        <v>'Credit_2021Q3'!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 ca="1"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(9)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325</v>
      </c>
    </row>
    <row r="6" spans="1:61" ht="28.5" customHeight="1" x14ac:dyDescent="0.25">
      <c r="A6" s="219" t="s">
        <v>217</v>
      </c>
      <c r="B6" s="220" t="s">
        <v>326</v>
      </c>
      <c r="C6" s="249" t="s">
        <v>219</v>
      </c>
      <c r="D6" s="221"/>
      <c r="E6" s="222">
        <f ca="1">INDIRECT( E3 &amp; G1 )</f>
        <v>44196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0.22857142857142856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14</v>
      </c>
      <c r="P10" s="216">
        <f t="shared" ca="1" si="13"/>
        <v>0.4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8.5714285714285715E-2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248</v>
      </c>
      <c r="B14" s="224" t="s">
        <v>144</v>
      </c>
      <c r="C14" s="224">
        <v>20</v>
      </c>
      <c r="D14" s="224" t="s">
        <v>249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149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3.8" x14ac:dyDescent="0.25">
      <c r="A15" s="223" t="s">
        <v>252</v>
      </c>
      <c r="B15" s="224" t="s">
        <v>144</v>
      </c>
      <c r="C15" s="224">
        <v>20</v>
      </c>
      <c r="D15" s="224" t="s">
        <v>253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17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3.8" x14ac:dyDescent="0.25">
      <c r="A16" s="223" t="s">
        <v>256</v>
      </c>
      <c r="B16" s="224" t="s">
        <v>144</v>
      </c>
      <c r="C16" s="224">
        <v>20</v>
      </c>
      <c r="D16" s="224" t="s">
        <v>257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258</v>
      </c>
      <c r="K16" s="232"/>
      <c r="L16" s="369">
        <f t="array" aca="1" ref="L16" ca="1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18.742857142857144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18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3.8" x14ac:dyDescent="0.25">
      <c r="A17" s="223" t="s">
        <v>230</v>
      </c>
      <c r="B17" s="224" t="s">
        <v>145</v>
      </c>
      <c r="C17" s="224">
        <v>19</v>
      </c>
      <c r="D17" s="224" t="s">
        <v>231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19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3.8" x14ac:dyDescent="0.25">
      <c r="A18" s="223" t="s">
        <v>238</v>
      </c>
      <c r="B18" s="224" t="s">
        <v>145</v>
      </c>
      <c r="C18" s="224">
        <v>19</v>
      </c>
      <c r="D18" s="224" t="s">
        <v>239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20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3.8" x14ac:dyDescent="0.25">
      <c r="A19" s="223" t="s">
        <v>250</v>
      </c>
      <c r="B19" s="224" t="s">
        <v>145</v>
      </c>
      <c r="C19" s="224">
        <v>19</v>
      </c>
      <c r="D19" s="224" t="s">
        <v>251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21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3.8" x14ac:dyDescent="0.25">
      <c r="A20" s="223" t="s">
        <v>254</v>
      </c>
      <c r="B20" s="224" t="s">
        <v>145</v>
      </c>
      <c r="C20" s="224">
        <v>19</v>
      </c>
      <c r="D20" s="224" t="s">
        <v>255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22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3.8" x14ac:dyDescent="0.25">
      <c r="A21" s="223" t="s">
        <v>261</v>
      </c>
      <c r="B21" s="224" t="s">
        <v>145</v>
      </c>
      <c r="C21" s="224">
        <v>19</v>
      </c>
      <c r="D21" s="224" t="s">
        <v>262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23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3.8" x14ac:dyDescent="0.25">
      <c r="A22" s="223" t="s">
        <v>263</v>
      </c>
      <c r="B22" s="224" t="s">
        <v>145</v>
      </c>
      <c r="C22" s="224">
        <v>19</v>
      </c>
      <c r="D22" s="224" t="s">
        <v>199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24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3.8" x14ac:dyDescent="0.25">
      <c r="A23" s="223" t="s">
        <v>266</v>
      </c>
      <c r="B23" s="224" t="s">
        <v>145</v>
      </c>
      <c r="C23" s="224">
        <v>19</v>
      </c>
      <c r="D23" s="224" t="s">
        <v>267</v>
      </c>
      <c r="E23" s="225" t="str">
        <f t="shared" ca="1" si="9"/>
        <v>MR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25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3.8" x14ac:dyDescent="0.25">
      <c r="A24" s="223" t="s">
        <v>268</v>
      </c>
      <c r="B24" s="224" t="s">
        <v>145</v>
      </c>
      <c r="C24" s="224">
        <v>19</v>
      </c>
      <c r="D24" s="224" t="s">
        <v>269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26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3.8" x14ac:dyDescent="0.25">
      <c r="A25" s="223" t="s">
        <v>272</v>
      </c>
      <c r="B25" s="224" t="s">
        <v>145</v>
      </c>
      <c r="C25" s="224">
        <v>19</v>
      </c>
      <c r="D25" s="224" t="s">
        <v>273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27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3.8" x14ac:dyDescent="0.25">
      <c r="A26" s="223" t="s">
        <v>274</v>
      </c>
      <c r="B26" s="224" t="s">
        <v>145</v>
      </c>
      <c r="C26" s="224">
        <v>19</v>
      </c>
      <c r="D26" s="224" t="s">
        <v>275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28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3.8" x14ac:dyDescent="0.25">
      <c r="A27" s="223" t="s">
        <v>276</v>
      </c>
      <c r="B27" s="224" t="s">
        <v>145</v>
      </c>
      <c r="C27" s="224">
        <v>19</v>
      </c>
      <c r="D27" s="224" t="s">
        <v>277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29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3.8" x14ac:dyDescent="0.25">
      <c r="A28" s="223" t="s">
        <v>278</v>
      </c>
      <c r="B28" s="224" t="s">
        <v>145</v>
      </c>
      <c r="C28" s="224">
        <v>19</v>
      </c>
      <c r="D28" s="224" t="s">
        <v>279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30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147</v>
      </c>
      <c r="AS28" s="207">
        <v>17</v>
      </c>
      <c r="AT28" s="207" t="s">
        <v>281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3.8" x14ac:dyDescent="0.25">
      <c r="A29" s="223" t="s">
        <v>282</v>
      </c>
      <c r="B29" s="224" t="s">
        <v>145</v>
      </c>
      <c r="C29" s="224">
        <v>19</v>
      </c>
      <c r="D29" s="224" t="s">
        <v>283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31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3.8" x14ac:dyDescent="0.25">
      <c r="A30" s="223" t="s">
        <v>286</v>
      </c>
      <c r="B30" s="224" t="s">
        <v>145</v>
      </c>
      <c r="C30" s="224">
        <v>19</v>
      </c>
      <c r="D30" s="224" t="s">
        <v>287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>
        <f t="shared" ca="1" si="19"/>
        <v>1</v>
      </c>
      <c r="AJ30" s="169">
        <f t="shared" ca="1" si="20"/>
        <v>14</v>
      </c>
      <c r="AK30" s="169" t="str">
        <f t="shared" ca="1" si="21"/>
        <v>A-</v>
      </c>
      <c r="AL30" s="169">
        <f t="shared" ca="1" si="21"/>
        <v>20</v>
      </c>
      <c r="AM30" s="169" t="str">
        <f t="shared" ca="1" si="4"/>
        <v>Change</v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3.8" x14ac:dyDescent="0.25">
      <c r="A31" s="223" t="s">
        <v>290</v>
      </c>
      <c r="B31" s="224" t="s">
        <v>145</v>
      </c>
      <c r="C31" s="224">
        <v>19</v>
      </c>
      <c r="D31" s="224" t="s">
        <v>291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3.8" x14ac:dyDescent="0.25">
      <c r="A32" s="223" t="s">
        <v>294</v>
      </c>
      <c r="B32" s="224" t="s">
        <v>145</v>
      </c>
      <c r="C32" s="224">
        <v>19</v>
      </c>
      <c r="D32" s="224" t="s">
        <v>295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33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3.8" x14ac:dyDescent="0.25">
      <c r="A33" s="223" t="s">
        <v>296</v>
      </c>
      <c r="B33" s="224" t="s">
        <v>145</v>
      </c>
      <c r="C33" s="224">
        <v>19</v>
      </c>
      <c r="D33" s="224" t="s">
        <v>297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34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3.8" x14ac:dyDescent="0.25">
      <c r="A34" s="223" t="s">
        <v>298</v>
      </c>
      <c r="B34" s="224" t="s">
        <v>145</v>
      </c>
      <c r="C34" s="224">
        <v>19</v>
      </c>
      <c r="D34" s="224" t="s">
        <v>299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>
        <f t="shared" ca="1" si="19"/>
        <v>1</v>
      </c>
      <c r="AJ34" s="169">
        <f t="shared" ca="1" si="20"/>
        <v>16</v>
      </c>
      <c r="AK34" s="169" t="str">
        <f t="shared" ca="1" si="21"/>
        <v>A-</v>
      </c>
      <c r="AL34" s="169">
        <f t="shared" ca="1" si="21"/>
        <v>20</v>
      </c>
      <c r="AM34" s="169" t="str">
        <f t="shared" ca="1" si="4"/>
        <v>Change</v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145</v>
      </c>
      <c r="AS39" s="207">
        <v>19</v>
      </c>
      <c r="AT39" s="207" t="s">
        <v>287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280</v>
      </c>
      <c r="B45" s="224" t="s">
        <v>147</v>
      </c>
      <c r="C45" s="224">
        <v>17</v>
      </c>
      <c r="D45" s="224" t="s">
        <v>281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>
        <f t="shared" ca="1" si="3"/>
        <v>1</v>
      </c>
      <c r="AH45" s="169" t="str">
        <f t="shared" ca="1" si="19"/>
        <v/>
      </c>
      <c r="AJ45" s="169">
        <f t="shared" ca="1" si="20"/>
        <v>48</v>
      </c>
      <c r="AK45" s="169" t="str">
        <f t="shared" ca="1" si="21"/>
        <v>BB</v>
      </c>
      <c r="AL45" s="169">
        <f t="shared" ca="1" si="21"/>
        <v>15</v>
      </c>
      <c r="AM45" s="169" t="str">
        <f t="shared" ca="1" si="4"/>
        <v>Change</v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3.8" x14ac:dyDescent="0.25">
      <c r="A46" s="223" t="s">
        <v>284</v>
      </c>
      <c r="B46" s="224" t="s">
        <v>147</v>
      </c>
      <c r="C46" s="224">
        <v>17</v>
      </c>
      <c r="D46" s="224" t="s">
        <v>285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45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145</v>
      </c>
      <c r="AS46" s="207">
        <v>19</v>
      </c>
      <c r="AT46" s="207" t="s">
        <v>299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8" x14ac:dyDescent="0.25">
      <c r="A47" s="223" t="s">
        <v>310</v>
      </c>
      <c r="B47" s="224" t="s">
        <v>147</v>
      </c>
      <c r="C47" s="224">
        <v>17</v>
      </c>
      <c r="D47" s="224" t="s">
        <v>311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312</v>
      </c>
      <c r="K47" s="191"/>
      <c r="M47" s="350"/>
      <c r="N47" s="350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46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8" x14ac:dyDescent="0.25">
      <c r="A48" s="223" t="s">
        <v>264</v>
      </c>
      <c r="B48" s="224" t="s">
        <v>178</v>
      </c>
      <c r="C48" s="224">
        <v>16</v>
      </c>
      <c r="D48" s="224" t="s">
        <v>265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47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3.8" x14ac:dyDescent="0.2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23" priority="31" stopIfTrue="1">
      <formula>IF( $AH7 = 1, TRUE, FALSE )</formula>
    </cfRule>
    <cfRule type="expression" dxfId="1522" priority="32" stopIfTrue="1">
      <formula>IF( $AG7 = 1, TRUE, FALSE )</formula>
    </cfRule>
    <cfRule type="expression" dxfId="1521" priority="33" stopIfTrue="1">
      <formula>IF( $AF7 = 1, TRUE, FALSE )</formula>
    </cfRule>
  </conditionalFormatting>
  <conditionalFormatting sqref="A67:E67">
    <cfRule type="expression" dxfId="1520" priority="34" stopIfTrue="1">
      <formula>IF( $AH67 = 1, TRUE, FALSE )</formula>
    </cfRule>
    <cfRule type="expression" dxfId="1519" priority="35" stopIfTrue="1">
      <formula>IF( $AG67 = 1, TRUE, FALSE )</formula>
    </cfRule>
    <cfRule type="expression" dxfId="1518" priority="36" stopIfTrue="1">
      <formula>IF( $AF67 = 1, TRUE, FALSE )</formula>
    </cfRule>
  </conditionalFormatting>
  <conditionalFormatting sqref="A66:E66">
    <cfRule type="expression" dxfId="1517" priority="28" stopIfTrue="1">
      <formula>IF( $AH66 = 1, TRUE, FALSE )</formula>
    </cfRule>
    <cfRule type="expression" dxfId="1516" priority="29" stopIfTrue="1">
      <formula>IF( $AG66 = 1, TRUE, FALSE )</formula>
    </cfRule>
    <cfRule type="expression" dxfId="1515" priority="30" stopIfTrue="1">
      <formula>IF( $AF66 = 1, TRUE, FALSE )</formula>
    </cfRule>
  </conditionalFormatting>
  <conditionalFormatting sqref="A8:D33 B7:D7 A35:D58">
    <cfRule type="expression" dxfId="1514" priority="25" stopIfTrue="1">
      <formula>IF( $AH7 = 1, TRUE, FALSE )</formula>
    </cfRule>
    <cfRule type="expression" dxfId="1513" priority="26" stopIfTrue="1">
      <formula>IF( $AG7 = 1, TRUE, FALSE )</formula>
    </cfRule>
    <cfRule type="expression" dxfId="1512" priority="27" stopIfTrue="1">
      <formula>IF( $AF7 = 1, TRUE, FALSE )</formula>
    </cfRule>
  </conditionalFormatting>
  <conditionalFormatting sqref="A59:D59">
    <cfRule type="expression" dxfId="1511" priority="22" stopIfTrue="1">
      <formula>IF( $AH59 = 1, TRUE, FALSE )</formula>
    </cfRule>
    <cfRule type="expression" dxfId="1510" priority="23" stopIfTrue="1">
      <formula>IF( $AG59 = 1, TRUE, FALSE )</formula>
    </cfRule>
    <cfRule type="expression" dxfId="1509" priority="24" stopIfTrue="1">
      <formula>IF( $AF59 = 1, TRUE, FALSE )</formula>
    </cfRule>
  </conditionalFormatting>
  <conditionalFormatting sqref="A61:D65">
    <cfRule type="expression" dxfId="1508" priority="19" stopIfTrue="1">
      <formula>IF( $AH61 = 1, TRUE, FALSE )</formula>
    </cfRule>
    <cfRule type="expression" dxfId="1507" priority="20" stopIfTrue="1">
      <formula>IF( $AG61 = 1, TRUE, FALSE )</formula>
    </cfRule>
    <cfRule type="expression" dxfId="1506" priority="21" stopIfTrue="1">
      <formula>IF( $AF61 = 1, TRUE, FALSE )</formula>
    </cfRule>
  </conditionalFormatting>
  <conditionalFormatting sqref="U8:U12">
    <cfRule type="cellIs" dxfId="1505" priority="18" operator="equal">
      <formula>0</formula>
    </cfRule>
  </conditionalFormatting>
  <conditionalFormatting sqref="O8:O12 Q8:Q12">
    <cfRule type="cellIs" dxfId="1504" priority="17" operator="equal">
      <formula>0</formula>
    </cfRule>
  </conditionalFormatting>
  <conditionalFormatting sqref="V8:V12">
    <cfRule type="cellIs" dxfId="1503" priority="16" operator="equal">
      <formula>0</formula>
    </cfRule>
  </conditionalFormatting>
  <conditionalFormatting sqref="S8:S12">
    <cfRule type="cellIs" dxfId="1502" priority="14" operator="equal">
      <formula>0</formula>
    </cfRule>
  </conditionalFormatting>
  <conditionalFormatting sqref="R8:R12">
    <cfRule type="cellIs" dxfId="1501" priority="15" operator="equal">
      <formula>0</formula>
    </cfRule>
  </conditionalFormatting>
  <conditionalFormatting sqref="P8:P12">
    <cfRule type="cellIs" dxfId="1500" priority="13" operator="equal">
      <formula>0</formula>
    </cfRule>
  </conditionalFormatting>
  <conditionalFormatting sqref="M8:M12">
    <cfRule type="cellIs" dxfId="1499" priority="12" operator="equal">
      <formula>0</formula>
    </cfRule>
  </conditionalFormatting>
  <conditionalFormatting sqref="T8:T12">
    <cfRule type="cellIs" dxfId="1498" priority="11" operator="equal">
      <formula>0</formula>
    </cfRule>
  </conditionalFormatting>
  <conditionalFormatting sqref="N8:N12">
    <cfRule type="cellIs" dxfId="1497" priority="10" operator="equal">
      <formula>0</formula>
    </cfRule>
  </conditionalFormatting>
  <conditionalFormatting sqref="K8:K12">
    <cfRule type="cellIs" dxfId="1496" priority="9" operator="equal">
      <formula>0</formula>
    </cfRule>
  </conditionalFormatting>
  <conditionalFormatting sqref="I8:I12">
    <cfRule type="cellIs" dxfId="1495" priority="8" operator="equal">
      <formula>0</formula>
    </cfRule>
  </conditionalFormatting>
  <conditionalFormatting sqref="W8:W12">
    <cfRule type="cellIs" dxfId="1494" priority="7" operator="equal">
      <formula>0</formula>
    </cfRule>
  </conditionalFormatting>
  <conditionalFormatting sqref="A7">
    <cfRule type="expression" dxfId="1493" priority="4" stopIfTrue="1">
      <formula>IF( $AH7 = 1, TRUE, FALSE )</formula>
    </cfRule>
    <cfRule type="expression" dxfId="1492" priority="5" stopIfTrue="1">
      <formula>IF( $AG7 = 1, TRUE, FALSE )</formula>
    </cfRule>
    <cfRule type="expression" dxfId="1491" priority="6" stopIfTrue="1">
      <formula>IF( $AF7 = 1, TRUE, FALSE )</formula>
    </cfRule>
  </conditionalFormatting>
  <conditionalFormatting sqref="A34:D34">
    <cfRule type="expression" dxfId="1490" priority="1" stopIfTrue="1">
      <formula>IF( $AH34 = 1, TRUE, FALSE )</formula>
    </cfRule>
    <cfRule type="expression" dxfId="1489" priority="2" stopIfTrue="1">
      <formula>IF( $AG34 = 1, TRUE, FALSE )</formula>
    </cfRule>
    <cfRule type="expression" dxfId="148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-- 2021 Q3</v>
      </c>
      <c r="G1" s="175" t="s">
        <v>200</v>
      </c>
      <c r="AF1" s="170" t="s">
        <v>201</v>
      </c>
      <c r="AG1" s="170" t="s">
        <v>202</v>
      </c>
      <c r="AH1" s="170" t="s">
        <v>203</v>
      </c>
      <c r="AJ1" s="170" t="s">
        <v>204</v>
      </c>
      <c r="AK1" s="170" t="s">
        <v>205</v>
      </c>
      <c r="AL1" s="170" t="s">
        <v>205</v>
      </c>
      <c r="AM1" s="170" t="s">
        <v>204</v>
      </c>
      <c r="AN1" s="170"/>
      <c r="AQ1" s="170" t="s">
        <v>206</v>
      </c>
    </row>
    <row r="2" spans="1:61" ht="18" hidden="1" outlineLevel="1" x14ac:dyDescent="0.25">
      <c r="A2" s="167"/>
      <c r="E2" s="171" t="str">
        <f ca="1">G2</f>
        <v>Reg_Percent_2020</v>
      </c>
      <c r="G2" s="172" t="s">
        <v>324</v>
      </c>
      <c r="AJ2" s="173" t="str">
        <f ca="1">AJ4 &amp; AJ3</f>
        <v>'Credit_2021Q2'!d:d</v>
      </c>
      <c r="AK2" s="173" t="str">
        <f ca="1">AK4 &amp; AK3</f>
        <v>'Credit_2021Q2'!b1</v>
      </c>
      <c r="AL2" s="173" t="str">
        <f ca="1">AL4 &amp; AL3</f>
        <v>'Credit_2021Q2'!c1</v>
      </c>
      <c r="AQ2" s="169"/>
    </row>
    <row r="3" spans="1:61" ht="18" hidden="1" outlineLevel="1" x14ac:dyDescent="0.25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208</v>
      </c>
      <c r="P3" s="175"/>
      <c r="Q3" s="175"/>
      <c r="R3" s="175" t="s">
        <v>209</v>
      </c>
      <c r="T3" s="168"/>
      <c r="U3" s="175" t="s">
        <v>199</v>
      </c>
      <c r="V3" s="168"/>
      <c r="X3" s="175"/>
      <c r="Y3" s="175"/>
      <c r="Z3" s="175"/>
      <c r="AA3" s="175"/>
      <c r="AJ3" s="149" t="s">
        <v>210</v>
      </c>
      <c r="AK3" s="149" t="s">
        <v>211</v>
      </c>
      <c r="AL3" s="149" t="s">
        <v>212</v>
      </c>
      <c r="AQ3" s="169"/>
    </row>
    <row r="4" spans="1:61" ht="18" hidden="1" outlineLevel="1" x14ac:dyDescent="0.25">
      <c r="A4" s="167"/>
      <c r="E4" s="175" t="s">
        <v>213</v>
      </c>
      <c r="G4" s="175" t="s">
        <v>210</v>
      </c>
      <c r="O4" s="169"/>
      <c r="P4" s="169"/>
      <c r="Q4" s="169"/>
      <c r="T4" s="168"/>
      <c r="U4" s="168"/>
      <c r="V4" s="168"/>
      <c r="AJ4" s="169" t="str">
        <f ca="1">$AQ$5</f>
        <v>'Credit_2021Q2'!</v>
      </c>
      <c r="AK4" s="169" t="str">
        <f t="shared" ref="AK4:AL4" ca="1" si="0">$AQ$5</f>
        <v>'Credit_2021Q2'!</v>
      </c>
      <c r="AL4" s="169" t="str">
        <f t="shared" ca="1" si="0"/>
        <v>'Credit_2021Q2'!</v>
      </c>
      <c r="AQ4" s="169"/>
    </row>
    <row r="5" spans="1:61" ht="13.8" collapsed="1" x14ac:dyDescent="0.25">
      <c r="E5" s="176" t="s">
        <v>214</v>
      </c>
      <c r="G5" s="170" t="s">
        <v>204</v>
      </c>
      <c r="I5" s="230"/>
      <c r="J5" s="372" t="s">
        <v>215</v>
      </c>
      <c r="K5" s="230"/>
      <c r="L5" s="374" t="str">
        <f ca="1">"All Companies" &amp; CHAR( 10 ) &amp; "("&amp; L14 &amp; ")"</f>
        <v>All Companies
(44)</v>
      </c>
      <c r="M5" s="374"/>
      <c r="N5" s="230"/>
      <c r="O5" s="372" t="str">
        <f ca="1">"Regulated" &amp; CHAR( 10 ) &amp; "(" &amp; O14 &amp; ")"</f>
        <v>Regulated
(35)</v>
      </c>
      <c r="P5" s="376"/>
      <c r="Q5" s="230"/>
      <c r="R5" s="372" t="str">
        <f ca="1">"Mostly Regulated" &amp; CHAR( 10 ) &amp; "(" &amp; R14 &amp; ")"</f>
        <v>Mostly Regulated
(9)</v>
      </c>
      <c r="S5" s="376"/>
      <c r="T5" s="230"/>
      <c r="U5" s="372" t="str">
        <f ca="1">"Diversified" &amp; CHAR( 10 ) &amp; "(" &amp; U14 &amp; ")"</f>
        <v>Diversified
(0)</v>
      </c>
      <c r="V5" s="376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327</v>
      </c>
    </row>
    <row r="6" spans="1:61" ht="28.5" customHeight="1" x14ac:dyDescent="0.25">
      <c r="A6" s="219" t="s">
        <v>217</v>
      </c>
      <c r="B6" s="220" t="s">
        <v>328</v>
      </c>
      <c r="C6" s="249" t="s">
        <v>219</v>
      </c>
      <c r="D6" s="221"/>
      <c r="E6" s="222">
        <f ca="1">INDIRECT( E3 &amp; G1 )</f>
        <v>44196</v>
      </c>
      <c r="I6" s="231"/>
      <c r="J6" s="373"/>
      <c r="K6" s="231"/>
      <c r="L6" s="375"/>
      <c r="M6" s="375"/>
      <c r="N6" s="231"/>
      <c r="O6" s="373"/>
      <c r="P6" s="373"/>
      <c r="Q6" s="231"/>
      <c r="R6" s="373" t="s">
        <v>141</v>
      </c>
      <c r="S6" s="373"/>
      <c r="T6" s="231"/>
      <c r="U6" s="373"/>
      <c r="V6" s="373"/>
      <c r="W6" s="231"/>
      <c r="AE6" s="178"/>
      <c r="AJ6" s="179"/>
    </row>
    <row r="7" spans="1:61" ht="13.8" x14ac:dyDescent="0.25">
      <c r="A7" s="223" t="s">
        <v>220</v>
      </c>
      <c r="B7" s="224" t="s">
        <v>171</v>
      </c>
      <c r="C7" s="224">
        <v>21</v>
      </c>
      <c r="D7" s="224" t="s">
        <v>221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139</v>
      </c>
      <c r="M7" s="183" t="s">
        <v>140</v>
      </c>
      <c r="N7" s="232"/>
      <c r="O7" s="183" t="s">
        <v>139</v>
      </c>
      <c r="P7" s="183" t="s">
        <v>140</v>
      </c>
      <c r="Q7" s="232"/>
      <c r="R7" s="183" t="s">
        <v>139</v>
      </c>
      <c r="S7" s="183" t="s">
        <v>140</v>
      </c>
      <c r="T7" s="232"/>
      <c r="U7" s="183" t="s">
        <v>139</v>
      </c>
      <c r="V7" s="183" t="s">
        <v>140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222</v>
      </c>
      <c r="AR7" s="207" t="s">
        <v>146</v>
      </c>
      <c r="AS7" s="207">
        <v>18</v>
      </c>
      <c r="AT7" s="207" t="s">
        <v>223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224</v>
      </c>
      <c r="B8" s="224" t="s">
        <v>144</v>
      </c>
      <c r="C8" s="224">
        <v>20</v>
      </c>
      <c r="D8" s="224" t="s">
        <v>225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142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226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224</v>
      </c>
      <c r="AR8" s="207" t="s">
        <v>144</v>
      </c>
      <c r="AS8" s="207">
        <v>20</v>
      </c>
      <c r="AT8" s="207" t="s">
        <v>225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227</v>
      </c>
      <c r="B9" s="224" t="s">
        <v>144</v>
      </c>
      <c r="C9" s="224">
        <v>20</v>
      </c>
      <c r="D9" s="224" t="s">
        <v>228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144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229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230</v>
      </c>
      <c r="AR9" s="207" t="s">
        <v>145</v>
      </c>
      <c r="AS9" s="207">
        <v>19</v>
      </c>
      <c r="AT9" s="207" t="s">
        <v>231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232</v>
      </c>
      <c r="B10" s="224" t="s">
        <v>144</v>
      </c>
      <c r="C10" s="224">
        <v>20</v>
      </c>
      <c r="D10" s="224" t="s">
        <v>233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145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234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227</v>
      </c>
      <c r="AR10" s="207" t="s">
        <v>144</v>
      </c>
      <c r="AS10" s="207">
        <v>20</v>
      </c>
      <c r="AT10" s="207" t="s">
        <v>228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235</v>
      </c>
      <c r="B11" s="224" t="s">
        <v>144</v>
      </c>
      <c r="C11" s="224">
        <v>20</v>
      </c>
      <c r="D11" s="224" t="s">
        <v>236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146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237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238</v>
      </c>
      <c r="AR11" s="207" t="s">
        <v>145</v>
      </c>
      <c r="AS11" s="207">
        <v>19</v>
      </c>
      <c r="AT11" s="207" t="s">
        <v>239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240</v>
      </c>
      <c r="B12" s="224" t="s">
        <v>144</v>
      </c>
      <c r="C12" s="224">
        <v>20</v>
      </c>
      <c r="D12" s="224" t="s">
        <v>241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147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242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243</v>
      </c>
      <c r="AR12" s="207" t="s">
        <v>146</v>
      </c>
      <c r="AS12" s="207">
        <v>18</v>
      </c>
      <c r="AT12" s="207" t="s">
        <v>244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245</v>
      </c>
      <c r="B13" s="224" t="s">
        <v>144</v>
      </c>
      <c r="C13" s="224">
        <v>20</v>
      </c>
      <c r="D13" s="224" t="s">
        <v>246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148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247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220</v>
      </c>
      <c r="AR13" s="207" t="s">
        <v>171</v>
      </c>
      <c r="AS13" s="207">
        <v>21</v>
      </c>
      <c r="AT13" s="207" t="s">
        <v>221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286</v>
      </c>
      <c r="B14" s="224" t="s">
        <v>144</v>
      </c>
      <c r="C14" s="224">
        <v>20</v>
      </c>
      <c r="D14" s="224" t="s">
        <v>287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149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250</v>
      </c>
      <c r="AR14" s="207" t="s">
        <v>145</v>
      </c>
      <c r="AS14" s="207">
        <v>19</v>
      </c>
      <c r="AT14" s="207" t="s">
        <v>251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8" x14ac:dyDescent="0.25">
      <c r="A15" s="223" t="s">
        <v>248</v>
      </c>
      <c r="B15" s="224" t="s">
        <v>144</v>
      </c>
      <c r="C15" s="224">
        <v>20</v>
      </c>
      <c r="D15" s="224" t="s">
        <v>249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254</v>
      </c>
      <c r="AR15" s="207" t="s">
        <v>145</v>
      </c>
      <c r="AS15" s="207">
        <v>19</v>
      </c>
      <c r="AT15" s="207" t="s">
        <v>255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8" x14ac:dyDescent="0.25">
      <c r="A16" s="223" t="s">
        <v>298</v>
      </c>
      <c r="B16" s="224" t="s">
        <v>144</v>
      </c>
      <c r="C16" s="224">
        <v>20</v>
      </c>
      <c r="D16" s="224" t="s">
        <v>299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258</v>
      </c>
      <c r="K16" s="232"/>
      <c r="L16" s="369">
        <f t="array" aca="1" ref="L16" ca="1">SUM( IF( LEN( $C$7:$C$65 ) = 0, 0, $C$7:$C$65 ) ) / SUM( IF( LEN( $C$7:$C$65 ) = 0, 0, 1  ) )</f>
        <v>18.795454545454547</v>
      </c>
      <c r="M16" s="370"/>
      <c r="N16" s="232"/>
      <c r="O16" s="369">
        <f t="array" aca="1" ref="O16" ca="1">SUM( IF( LEN( $C$7:$C$65 ) = 0, 0, IF( $E$7:$E$65 = O3, $C$7:$C$65, 0 ) ) ) / SUM( IF( LEN( $C$7:$C$65 ) = 0, 0, IF( $E$7:$E$65 = O3, 1, 0 ) ) )</f>
        <v>18.742857142857144</v>
      </c>
      <c r="P16" s="370"/>
      <c r="Q16" s="232"/>
      <c r="R16" s="369">
        <f t="array" aca="1" ref="R16" ca="1">SUM( IF( LEN( $C$7:$C$65 ) = 0, 0, IF( $E$7:$E$65 = R3, $C$7:$C$65, 0 ) ) ) / SUM( IF( LEN( $C$7:$C$65 ) = 0, 0, IF( $E$7:$E$65 = R3, 1, 0 ) ) )</f>
        <v>19</v>
      </c>
      <c r="S16" s="370"/>
      <c r="T16" s="232"/>
      <c r="U16" s="369" t="e">
        <f t="array" aca="1" ref="U16" ca="1">SUM( IF( LEN( $C$7:$C$65 ) = 0, 0, IF( $E$7:$E$65 = U3, $C$7:$C$65, 0 ) ) ) / SUM( IF( LEN( $C$7:$C$65 ) = 0, 0, IF( $E$7:$E$65 = U3, 1, 0 ) ) )</f>
        <v>#DIV/0!</v>
      </c>
      <c r="V16" s="371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259</v>
      </c>
      <c r="AR16" s="207" t="s">
        <v>147</v>
      </c>
      <c r="AS16" s="207">
        <v>17</v>
      </c>
      <c r="AT16" s="207" t="s">
        <v>260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8" x14ac:dyDescent="0.25">
      <c r="A17" s="223" t="s">
        <v>252</v>
      </c>
      <c r="B17" s="224" t="s">
        <v>144</v>
      </c>
      <c r="C17" s="224">
        <v>20</v>
      </c>
      <c r="D17" s="224" t="s">
        <v>253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261</v>
      </c>
      <c r="AR17" s="207" t="s">
        <v>145</v>
      </c>
      <c r="AS17" s="207">
        <v>19</v>
      </c>
      <c r="AT17" s="207" t="s">
        <v>262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8" x14ac:dyDescent="0.25">
      <c r="A18" s="223" t="s">
        <v>256</v>
      </c>
      <c r="B18" s="224" t="s">
        <v>144</v>
      </c>
      <c r="C18" s="224">
        <v>20</v>
      </c>
      <c r="D18" s="224" t="s">
        <v>257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232</v>
      </c>
      <c r="AR18" s="207" t="s">
        <v>144</v>
      </c>
      <c r="AS18" s="207">
        <v>20</v>
      </c>
      <c r="AT18" s="207" t="s">
        <v>233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8" x14ac:dyDescent="0.25">
      <c r="A19" s="223" t="s">
        <v>230</v>
      </c>
      <c r="B19" s="224" t="s">
        <v>145</v>
      </c>
      <c r="C19" s="224">
        <v>19</v>
      </c>
      <c r="D19" s="224" t="s">
        <v>231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263</v>
      </c>
      <c r="AR19" s="207" t="s">
        <v>145</v>
      </c>
      <c r="AS19" s="207">
        <v>19</v>
      </c>
      <c r="AT19" s="207" t="s">
        <v>199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8" x14ac:dyDescent="0.25">
      <c r="A20" s="223" t="s">
        <v>238</v>
      </c>
      <c r="B20" s="224" t="s">
        <v>145</v>
      </c>
      <c r="C20" s="224">
        <v>19</v>
      </c>
      <c r="D20" s="224" t="s">
        <v>239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264</v>
      </c>
      <c r="AR20" s="207" t="s">
        <v>178</v>
      </c>
      <c r="AS20" s="207">
        <v>16</v>
      </c>
      <c r="AT20" s="207" t="s">
        <v>265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8" x14ac:dyDescent="0.25">
      <c r="A21" s="223" t="s">
        <v>250</v>
      </c>
      <c r="B21" s="224" t="s">
        <v>145</v>
      </c>
      <c r="C21" s="224">
        <v>19</v>
      </c>
      <c r="D21" s="224" t="s">
        <v>251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266</v>
      </c>
      <c r="AR21" s="207" t="s">
        <v>145</v>
      </c>
      <c r="AS21" s="207">
        <v>19</v>
      </c>
      <c r="AT21" s="207" t="s">
        <v>267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8" x14ac:dyDescent="0.25">
      <c r="A22" s="223" t="s">
        <v>254</v>
      </c>
      <c r="B22" s="224" t="s">
        <v>145</v>
      </c>
      <c r="C22" s="224">
        <v>19</v>
      </c>
      <c r="D22" s="224" t="s">
        <v>255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268</v>
      </c>
      <c r="AR22" s="207" t="s">
        <v>145</v>
      </c>
      <c r="AS22" s="207">
        <v>19</v>
      </c>
      <c r="AT22" s="207" t="s">
        <v>269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8" x14ac:dyDescent="0.25">
      <c r="A23" s="223" t="s">
        <v>261</v>
      </c>
      <c r="B23" s="224" t="s">
        <v>145</v>
      </c>
      <c r="C23" s="224">
        <v>19</v>
      </c>
      <c r="D23" s="224" t="s">
        <v>262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270</v>
      </c>
      <c r="AR23" s="207" t="s">
        <v>146</v>
      </c>
      <c r="AS23" s="207">
        <v>18</v>
      </c>
      <c r="AT23" s="207" t="s">
        <v>271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8" x14ac:dyDescent="0.25">
      <c r="A24" s="223" t="s">
        <v>263</v>
      </c>
      <c r="B24" s="224" t="s">
        <v>145</v>
      </c>
      <c r="C24" s="224">
        <v>19</v>
      </c>
      <c r="D24" s="224" t="s">
        <v>199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272</v>
      </c>
      <c r="AR24" s="207" t="s">
        <v>145</v>
      </c>
      <c r="AS24" s="207">
        <v>19</v>
      </c>
      <c r="AT24" s="207" t="s">
        <v>273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8" x14ac:dyDescent="0.25">
      <c r="A25" s="223" t="s">
        <v>266</v>
      </c>
      <c r="B25" s="224" t="s">
        <v>145</v>
      </c>
      <c r="C25" s="224">
        <v>19</v>
      </c>
      <c r="D25" s="224" t="s">
        <v>267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235</v>
      </c>
      <c r="AR25" s="207" t="s">
        <v>144</v>
      </c>
      <c r="AS25" s="207">
        <v>20</v>
      </c>
      <c r="AT25" s="207" t="s">
        <v>236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8" x14ac:dyDescent="0.25">
      <c r="A26" s="223" t="s">
        <v>268</v>
      </c>
      <c r="B26" s="224" t="s">
        <v>145</v>
      </c>
      <c r="C26" s="224">
        <v>19</v>
      </c>
      <c r="D26" s="224" t="s">
        <v>269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240</v>
      </c>
      <c r="AR26" s="207" t="s">
        <v>144</v>
      </c>
      <c r="AS26" s="207">
        <v>20</v>
      </c>
      <c r="AT26" s="207" t="s">
        <v>241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8" x14ac:dyDescent="0.25">
      <c r="A27" s="223" t="s">
        <v>272</v>
      </c>
      <c r="B27" s="224" t="s">
        <v>145</v>
      </c>
      <c r="C27" s="224">
        <v>19</v>
      </c>
      <c r="D27" s="224" t="s">
        <v>273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274</v>
      </c>
      <c r="AR27" s="207" t="s">
        <v>145</v>
      </c>
      <c r="AS27" s="207">
        <v>19</v>
      </c>
      <c r="AT27" s="207" t="s">
        <v>275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274</v>
      </c>
      <c r="B28" s="224" t="s">
        <v>145</v>
      </c>
      <c r="C28" s="224">
        <v>19</v>
      </c>
      <c r="D28" s="224" t="s">
        <v>275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280</v>
      </c>
      <c r="AR28" s="207" t="s">
        <v>180</v>
      </c>
      <c r="AS28" s="207">
        <v>15</v>
      </c>
      <c r="AT28" s="207" t="s">
        <v>281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276</v>
      </c>
      <c r="B29" s="224" t="s">
        <v>145</v>
      </c>
      <c r="C29" s="224">
        <v>19</v>
      </c>
      <c r="D29" s="224" t="s">
        <v>277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284</v>
      </c>
      <c r="AR29" s="207" t="s">
        <v>147</v>
      </c>
      <c r="AS29" s="207">
        <v>17</v>
      </c>
      <c r="AT29" s="207" t="s">
        <v>285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278</v>
      </c>
      <c r="B30" s="224" t="s">
        <v>145</v>
      </c>
      <c r="C30" s="224">
        <v>19</v>
      </c>
      <c r="D30" s="224" t="s">
        <v>279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288</v>
      </c>
      <c r="AR30" s="207" t="s">
        <v>146</v>
      </c>
      <c r="AS30" s="207">
        <v>18</v>
      </c>
      <c r="AT30" s="207" t="s">
        <v>289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282</v>
      </c>
      <c r="B31" s="224" t="s">
        <v>145</v>
      </c>
      <c r="C31" s="224">
        <v>19</v>
      </c>
      <c r="D31" s="224" t="s">
        <v>283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292</v>
      </c>
      <c r="AR31" s="207" t="s">
        <v>146</v>
      </c>
      <c r="AS31" s="207">
        <v>18</v>
      </c>
      <c r="AT31" s="207" t="s">
        <v>293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290</v>
      </c>
      <c r="B32" s="224" t="s">
        <v>145</v>
      </c>
      <c r="C32" s="224">
        <v>19</v>
      </c>
      <c r="D32" s="224" t="s">
        <v>291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276</v>
      </c>
      <c r="AR32" s="207" t="s">
        <v>145</v>
      </c>
      <c r="AS32" s="207">
        <v>19</v>
      </c>
      <c r="AT32" s="207" t="s">
        <v>277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294</v>
      </c>
      <c r="B33" s="224" t="s">
        <v>145</v>
      </c>
      <c r="C33" s="224">
        <v>19</v>
      </c>
      <c r="D33" s="224" t="s">
        <v>295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245</v>
      </c>
      <c r="AR33" s="207" t="s">
        <v>144</v>
      </c>
      <c r="AS33" s="207">
        <v>20</v>
      </c>
      <c r="AT33" s="207" t="s">
        <v>246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296</v>
      </c>
      <c r="B34" s="224" t="s">
        <v>145</v>
      </c>
      <c r="C34" s="224">
        <v>19</v>
      </c>
      <c r="D34" s="224" t="s">
        <v>297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278</v>
      </c>
      <c r="AR34" s="207" t="s">
        <v>145</v>
      </c>
      <c r="AS34" s="207">
        <v>19</v>
      </c>
      <c r="AT34" s="207" t="s">
        <v>279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300</v>
      </c>
      <c r="B35" s="224" t="s">
        <v>145</v>
      </c>
      <c r="C35" s="224">
        <v>19</v>
      </c>
      <c r="D35" s="224" t="s">
        <v>301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302</v>
      </c>
      <c r="AR35" s="207" t="s">
        <v>146</v>
      </c>
      <c r="AS35" s="207">
        <v>18</v>
      </c>
      <c r="AT35" s="207" t="s">
        <v>303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222</v>
      </c>
      <c r="B36" s="224" t="s">
        <v>146</v>
      </c>
      <c r="C36" s="224">
        <v>18</v>
      </c>
      <c r="D36" s="224" t="s">
        <v>223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282</v>
      </c>
      <c r="AR36" s="207" t="s">
        <v>145</v>
      </c>
      <c r="AS36" s="207">
        <v>19</v>
      </c>
      <c r="AT36" s="207" t="s">
        <v>283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243</v>
      </c>
      <c r="B37" s="224" t="s">
        <v>146</v>
      </c>
      <c r="C37" s="224">
        <v>18</v>
      </c>
      <c r="D37" s="224" t="s">
        <v>244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304</v>
      </c>
      <c r="AR37" s="207" t="s">
        <v>146</v>
      </c>
      <c r="AS37" s="207">
        <v>18</v>
      </c>
      <c r="AT37" s="207" t="s">
        <v>305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270</v>
      </c>
      <c r="B38" s="224" t="s">
        <v>146</v>
      </c>
      <c r="C38" s="224">
        <v>18</v>
      </c>
      <c r="D38" s="224" t="s">
        <v>271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306</v>
      </c>
      <c r="AR38" s="207" t="s">
        <v>182</v>
      </c>
      <c r="AS38" s="207">
        <v>14</v>
      </c>
      <c r="AT38" s="207" t="s">
        <v>307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288</v>
      </c>
      <c r="B39" s="224" t="s">
        <v>146</v>
      </c>
      <c r="C39" s="224">
        <v>18</v>
      </c>
      <c r="D39" s="224" t="s">
        <v>289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286</v>
      </c>
      <c r="AR39" s="207" t="s">
        <v>144</v>
      </c>
      <c r="AS39" s="207">
        <v>20</v>
      </c>
      <c r="AT39" s="207" t="s">
        <v>287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292</v>
      </c>
      <c r="B40" s="224" t="s">
        <v>146</v>
      </c>
      <c r="C40" s="224">
        <v>18</v>
      </c>
      <c r="D40" s="224" t="s">
        <v>293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308</v>
      </c>
      <c r="AR40" s="207" t="s">
        <v>146</v>
      </c>
      <c r="AS40" s="207">
        <v>18</v>
      </c>
      <c r="AT40" s="207" t="s">
        <v>309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302</v>
      </c>
      <c r="B41" s="224" t="s">
        <v>146</v>
      </c>
      <c r="C41" s="224">
        <v>18</v>
      </c>
      <c r="D41" s="224" t="s">
        <v>303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290</v>
      </c>
      <c r="AR41" s="207" t="s">
        <v>145</v>
      </c>
      <c r="AS41" s="207">
        <v>19</v>
      </c>
      <c r="AT41" s="207" t="s">
        <v>291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304</v>
      </c>
      <c r="B42" s="224" t="s">
        <v>146</v>
      </c>
      <c r="C42" s="224">
        <v>18</v>
      </c>
      <c r="D42" s="224" t="s">
        <v>305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248</v>
      </c>
      <c r="AR42" s="207" t="s">
        <v>144</v>
      </c>
      <c r="AS42" s="207">
        <v>20</v>
      </c>
      <c r="AT42" s="207" t="s">
        <v>249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308</v>
      </c>
      <c r="B43" s="224" t="s">
        <v>146</v>
      </c>
      <c r="C43" s="224">
        <v>18</v>
      </c>
      <c r="D43" s="224" t="s">
        <v>309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294</v>
      </c>
      <c r="AR43" s="207" t="s">
        <v>145</v>
      </c>
      <c r="AS43" s="207">
        <v>19</v>
      </c>
      <c r="AT43" s="207" t="s">
        <v>295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259</v>
      </c>
      <c r="B44" s="224" t="s">
        <v>147</v>
      </c>
      <c r="C44" s="224">
        <v>17</v>
      </c>
      <c r="D44" s="224" t="s">
        <v>260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310</v>
      </c>
      <c r="AR44" s="207" t="s">
        <v>147</v>
      </c>
      <c r="AS44" s="207">
        <v>17</v>
      </c>
      <c r="AT44" s="207" t="s">
        <v>311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284</v>
      </c>
      <c r="B45" s="224" t="s">
        <v>147</v>
      </c>
      <c r="C45" s="224">
        <v>17</v>
      </c>
      <c r="D45" s="224" t="s">
        <v>285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296</v>
      </c>
      <c r="AR45" s="207" t="s">
        <v>145</v>
      </c>
      <c r="AS45" s="207">
        <v>19</v>
      </c>
      <c r="AT45" s="207" t="s">
        <v>297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8" x14ac:dyDescent="0.25">
      <c r="A46" s="223" t="s">
        <v>310</v>
      </c>
      <c r="B46" s="224" t="s">
        <v>147</v>
      </c>
      <c r="C46" s="224">
        <v>17</v>
      </c>
      <c r="D46" s="224" t="s">
        <v>311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298</v>
      </c>
      <c r="AR46" s="207" t="s">
        <v>144</v>
      </c>
      <c r="AS46" s="207">
        <v>20</v>
      </c>
      <c r="AT46" s="207" t="s">
        <v>299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8" x14ac:dyDescent="0.25">
      <c r="A47" s="223" t="s">
        <v>264</v>
      </c>
      <c r="B47" s="224" t="s">
        <v>178</v>
      </c>
      <c r="C47" s="224">
        <v>16</v>
      </c>
      <c r="D47" s="224" t="s">
        <v>265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312</v>
      </c>
      <c r="K47" s="191"/>
      <c r="M47" s="350"/>
      <c r="N47" s="350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300</v>
      </c>
      <c r="AR47" s="207" t="s">
        <v>145</v>
      </c>
      <c r="AS47" s="207">
        <v>19</v>
      </c>
      <c r="AT47" s="207" t="s">
        <v>301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8" x14ac:dyDescent="0.25">
      <c r="A48" s="223" t="s">
        <v>280</v>
      </c>
      <c r="B48" s="224" t="s">
        <v>180</v>
      </c>
      <c r="C48" s="224">
        <v>15</v>
      </c>
      <c r="D48" s="224" t="s">
        <v>281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252</v>
      </c>
      <c r="AR48" s="207" t="s">
        <v>144</v>
      </c>
      <c r="AS48" s="207">
        <v>20</v>
      </c>
      <c r="AT48" s="207" t="s">
        <v>253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8" x14ac:dyDescent="0.25">
      <c r="A49" s="223" t="s">
        <v>306</v>
      </c>
      <c r="B49" s="224" t="s">
        <v>182</v>
      </c>
      <c r="C49" s="224">
        <v>14</v>
      </c>
      <c r="D49" s="224" t="s">
        <v>307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256</v>
      </c>
      <c r="AR49" s="207" t="s">
        <v>144</v>
      </c>
      <c r="AS49" s="207">
        <v>20</v>
      </c>
      <c r="AT49" s="207" t="s">
        <v>257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313</v>
      </c>
      <c r="B61" s="227" t="s">
        <v>167</v>
      </c>
      <c r="C61" s="227">
        <v>23</v>
      </c>
      <c r="D61" s="227" t="s">
        <v>314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313</v>
      </c>
      <c r="AR64" s="207" t="s">
        <v>167</v>
      </c>
      <c r="AS64" s="207">
        <v>23</v>
      </c>
      <c r="AT64" s="207" t="s">
        <v>314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315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316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0"/>
      <c r="K70" s="350"/>
    </row>
    <row r="71" spans="1:61" x14ac:dyDescent="0.25">
      <c r="A71" s="203" t="s">
        <v>317</v>
      </c>
      <c r="F71" s="173"/>
      <c r="H71" s="173"/>
      <c r="I71" s="173"/>
    </row>
    <row r="72" spans="1:61" x14ac:dyDescent="0.25">
      <c r="A72" s="203" t="s">
        <v>318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319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320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321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87" priority="31" stopIfTrue="1">
      <formula>IF( $AH7 = 1, TRUE, FALSE )</formula>
    </cfRule>
    <cfRule type="expression" dxfId="1486" priority="32" stopIfTrue="1">
      <formula>IF( $AG7 = 1, TRUE, FALSE )</formula>
    </cfRule>
    <cfRule type="expression" dxfId="1485" priority="33" stopIfTrue="1">
      <formula>IF( $AF7 = 1, TRUE, FALSE )</formula>
    </cfRule>
  </conditionalFormatting>
  <conditionalFormatting sqref="A67:E67">
    <cfRule type="expression" dxfId="1484" priority="34" stopIfTrue="1">
      <formula>IF( $AH67 = 1, TRUE, FALSE )</formula>
    </cfRule>
    <cfRule type="expression" dxfId="1483" priority="35" stopIfTrue="1">
      <formula>IF( $AG67 = 1, TRUE, FALSE )</formula>
    </cfRule>
    <cfRule type="expression" dxfId="1482" priority="36" stopIfTrue="1">
      <formula>IF( $AF67 = 1, TRUE, FALSE )</formula>
    </cfRule>
  </conditionalFormatting>
  <conditionalFormatting sqref="A66:E66">
    <cfRule type="expression" dxfId="1481" priority="28" stopIfTrue="1">
      <formula>IF( $AH66 = 1, TRUE, FALSE )</formula>
    </cfRule>
    <cfRule type="expression" dxfId="1480" priority="29" stopIfTrue="1">
      <formula>IF( $AG66 = 1, TRUE, FALSE )</formula>
    </cfRule>
    <cfRule type="expression" dxfId="1479" priority="30" stopIfTrue="1">
      <formula>IF( $AF66 = 1, TRUE, FALSE )</formula>
    </cfRule>
  </conditionalFormatting>
  <conditionalFormatting sqref="A8:D33 B7:D7 A35:D58">
    <cfRule type="expression" dxfId="1478" priority="25" stopIfTrue="1">
      <formula>IF( $AH7 = 1, TRUE, FALSE )</formula>
    </cfRule>
    <cfRule type="expression" dxfId="1477" priority="26" stopIfTrue="1">
      <formula>IF( $AG7 = 1, TRUE, FALSE )</formula>
    </cfRule>
    <cfRule type="expression" dxfId="1476" priority="27" stopIfTrue="1">
      <formula>IF( $AF7 = 1, TRUE, FALSE )</formula>
    </cfRule>
  </conditionalFormatting>
  <conditionalFormatting sqref="A59:D59">
    <cfRule type="expression" dxfId="1475" priority="22" stopIfTrue="1">
      <formula>IF( $AH59 = 1, TRUE, FALSE )</formula>
    </cfRule>
    <cfRule type="expression" dxfId="1474" priority="23" stopIfTrue="1">
      <formula>IF( $AG59 = 1, TRUE, FALSE )</formula>
    </cfRule>
    <cfRule type="expression" dxfId="1473" priority="24" stopIfTrue="1">
      <formula>IF( $AF59 = 1, TRUE, FALSE )</formula>
    </cfRule>
  </conditionalFormatting>
  <conditionalFormatting sqref="A61:D65">
    <cfRule type="expression" dxfId="1472" priority="19" stopIfTrue="1">
      <formula>IF( $AH61 = 1, TRUE, FALSE )</formula>
    </cfRule>
    <cfRule type="expression" dxfId="1471" priority="20" stopIfTrue="1">
      <formula>IF( $AG61 = 1, TRUE, FALSE )</formula>
    </cfRule>
    <cfRule type="expression" dxfId="1470" priority="21" stopIfTrue="1">
      <formula>IF( $AF61 = 1, TRUE, FALSE )</formula>
    </cfRule>
  </conditionalFormatting>
  <conditionalFormatting sqref="U8:U12">
    <cfRule type="cellIs" dxfId="1469" priority="18" operator="equal">
      <formula>0</formula>
    </cfRule>
  </conditionalFormatting>
  <conditionalFormatting sqref="O8:O12 Q8:Q12">
    <cfRule type="cellIs" dxfId="1468" priority="17" operator="equal">
      <formula>0</formula>
    </cfRule>
  </conditionalFormatting>
  <conditionalFormatting sqref="V8:V12">
    <cfRule type="cellIs" dxfId="1467" priority="16" operator="equal">
      <formula>0</formula>
    </cfRule>
  </conditionalFormatting>
  <conditionalFormatting sqref="S8:S12">
    <cfRule type="cellIs" dxfId="1466" priority="14" operator="equal">
      <formula>0</formula>
    </cfRule>
  </conditionalFormatting>
  <conditionalFormatting sqref="R8:R12">
    <cfRule type="cellIs" dxfId="1465" priority="15" operator="equal">
      <formula>0</formula>
    </cfRule>
  </conditionalFormatting>
  <conditionalFormatting sqref="P8:P12">
    <cfRule type="cellIs" dxfId="1464" priority="13" operator="equal">
      <formula>0</formula>
    </cfRule>
  </conditionalFormatting>
  <conditionalFormatting sqref="M8:M12">
    <cfRule type="cellIs" dxfId="1463" priority="12" operator="equal">
      <formula>0</formula>
    </cfRule>
  </conditionalFormatting>
  <conditionalFormatting sqref="T8:T12">
    <cfRule type="cellIs" dxfId="1462" priority="11" operator="equal">
      <formula>0</formula>
    </cfRule>
  </conditionalFormatting>
  <conditionalFormatting sqref="N8:N12">
    <cfRule type="cellIs" dxfId="1461" priority="10" operator="equal">
      <formula>0</formula>
    </cfRule>
  </conditionalFormatting>
  <conditionalFormatting sqref="K8:K12">
    <cfRule type="cellIs" dxfId="1460" priority="9" operator="equal">
      <formula>0</formula>
    </cfRule>
  </conditionalFormatting>
  <conditionalFormatting sqref="I8:I12">
    <cfRule type="cellIs" dxfId="1459" priority="8" operator="equal">
      <formula>0</formula>
    </cfRule>
  </conditionalFormatting>
  <conditionalFormatting sqref="W8:W12">
    <cfRule type="cellIs" dxfId="1458" priority="7" operator="equal">
      <formula>0</formula>
    </cfRule>
  </conditionalFormatting>
  <conditionalFormatting sqref="A7">
    <cfRule type="expression" dxfId="1457" priority="4" stopIfTrue="1">
      <formula>IF( $AH7 = 1, TRUE, FALSE )</formula>
    </cfRule>
    <cfRule type="expression" dxfId="1456" priority="5" stopIfTrue="1">
      <formula>IF( $AG7 = 1, TRUE, FALSE )</formula>
    </cfRule>
    <cfRule type="expression" dxfId="1455" priority="6" stopIfTrue="1">
      <formula>IF( $AF7 = 1, TRUE, FALSE )</formula>
    </cfRule>
  </conditionalFormatting>
  <conditionalFormatting sqref="A34:D34">
    <cfRule type="expression" dxfId="1454" priority="1" stopIfTrue="1">
      <formula>IF( $AH34 = 1, TRUE, FALSE )</formula>
    </cfRule>
    <cfRule type="expression" dxfId="1453" priority="2" stopIfTrue="1">
      <formula>IF( $AG34 = 1, TRUE, FALSE )</formula>
    </cfRule>
    <cfRule type="expression" dxfId="145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208671-E534-4270-ADA2-92DC490220A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6C76E5-BF75-48CE-A6B5-1CCAC67E65E7}">
  <ds:schemaRefs>
    <ds:schemaRef ds:uri="f75139fd-48b9-45c1-a4c7-52ae13733b45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http://schemas.openxmlformats.org/package/2006/metadata/core-properties"/>
    <ds:schemaRef ds:uri="7a7db55e-2b16-4e8e-9efb-fab6e669a343"/>
    <ds:schemaRef ds:uri="d964b0a4-682e-4bda-b6b2-77439f345c49"/>
  </ds:schemaRefs>
</ds:datastoreItem>
</file>

<file path=customXml/itemProps3.xml><?xml version="1.0" encoding="utf-8"?>
<ds:datastoreItem xmlns:ds="http://schemas.openxmlformats.org/officeDocument/2006/customXml" ds:itemID="{AF0C69A9-BAE6-498F-BDDE-3FE106CF61B1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43AE3713-E4A7-4233-BEDB-FC2AF67ED8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4</vt:i4>
      </vt:variant>
    </vt:vector>
  </HeadingPairs>
  <TitlesOfParts>
    <vt:vector size="74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Credit_2022Q2</vt:lpstr>
      <vt:lpstr>Credit_2022Q1</vt:lpstr>
      <vt:lpstr>Credit_2021Q4</vt:lpstr>
      <vt:lpstr>Credit_2021Q3</vt:lpstr>
      <vt:lpstr>Credit_2021Q2</vt:lpstr>
      <vt:lpstr>Credit_2021Q1</vt:lpstr>
      <vt:lpstr>Credit_2020Q4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Reg_Percent_2021</vt:lpstr>
      <vt:lpstr>Reg_Percent_2020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Manager/>
  <Company>mindSHIFT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Tax/QFU_Credit/2021_Q2_Credit_Ratings.xlsx</dc:title>
  <dc:subject/>
  <dc:creator>Mathew Martin</dc:creator>
  <cp:keywords/>
  <dc:description/>
  <cp:lastModifiedBy>Zhang, Wenni</cp:lastModifiedBy>
  <cp:revision/>
  <dcterms:created xsi:type="dcterms:W3CDTF">2005-10-18T14:13:46Z</dcterms:created>
  <dcterms:modified xsi:type="dcterms:W3CDTF">2022-09-29T19:12:47Z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0x010100BDD9FCF9956A52419A332866A5789BC3</vt:lpwstr>
  </property>
  <property fmtid="{D5CDD505-2E9C-101B-9397-08002B2CF9AE}" pid="5" name="WorkflowChangePath">
    <vt:lpwstr>d25fe73d-fcec-4a07-bd5f-0dc3409157cc,11;</vt:lpwstr>
  </property>
  <property fmtid="{D5CDD505-2E9C-101B-9397-08002B2CF9AE}" pid="6" name="Tags">
    <vt:lpwstr/>
  </property>
</Properties>
</file>